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loud\Mulher\"/>
    </mc:Choice>
  </mc:AlternateContent>
  <xr:revisionPtr revIDLastSave="0" documentId="13_ncr:1_{0EBAB16D-3B72-4002-9B3C-1964C9A5C931}" xr6:coauthVersionLast="36" xr6:coauthVersionMax="47" xr10:uidLastSave="{00000000-0000-0000-0000-000000000000}"/>
  <workbookProtection workbookAlgorithmName="SHA-512" workbookHashValue="A2U3Hcg434TH6CeTa3+ACh36TjceA5ajpRr+h+7pKbwhk7yiasch5EmiZp1B/BGoE5YIqRPiuqu+ptaqtdxYyw==" workbookSaltValue="MHbj8WTZKse1ySMAD6kAIw==" workbookSpinCount="100000" lockStructure="1"/>
  <bookViews>
    <workbookView xWindow="0" yWindow="0" windowWidth="20490" windowHeight="7830" tabRatio="592" xr2:uid="{EA4D6B95-C80E-4DBE-93ED-1CCC4B49119B}"/>
  </bookViews>
  <sheets>
    <sheet name="Dashboard" sheetId="9" r:id="rId1"/>
    <sheet name="Caixa" sheetId="15" r:id="rId2"/>
    <sheet name="Caixa-Dinamica" sheetId="18" r:id="rId3"/>
    <sheet name="Produção" sheetId="16" r:id="rId4"/>
    <sheet name="Producao-Dinamica" sheetId="19" r:id="rId5"/>
    <sheet name="Resultados" sheetId="23" r:id="rId6"/>
    <sheet name="Contatos" sheetId="17" r:id="rId7"/>
    <sheet name="Orçamento" sheetId="20" r:id="rId8"/>
    <sheet name="Preços" sheetId="21" r:id="rId9"/>
    <sheet name="Agenda" sheetId="14" r:id="rId10"/>
    <sheet name="Calendário" sheetId="22" r:id="rId11"/>
    <sheet name="Cloud Excel" sheetId="24" r:id="rId12"/>
  </sheets>
  <externalReferences>
    <externalReference r:id="rId13"/>
    <externalReference r:id="rId14"/>
  </externalReferences>
  <definedNames>
    <definedName name="list_priority">[1]Geral!$G$99:$G$103</definedName>
    <definedName name="list_type">[1]Geral!$C$99:$C$103</definedName>
    <definedName name="SegmentaçãodeDados_Vela">#N/A</definedName>
    <definedName name="SegmentaçãodeDados_Vela1">#N/A</definedName>
  </definedNames>
  <calcPr calcId="191029"/>
  <pivotCaches>
    <pivotCache cacheId="0" r:id="rId15"/>
    <pivotCache cacheId="1" r:id="rId16"/>
    <pivotCache cacheId="2" r:id="rId17"/>
    <pivotCache cacheId="3" r:id="rId18"/>
    <pivotCache cacheId="4" r:id="rId19"/>
  </pivotCaches>
  <extLst>
    <ext xmlns:x14="http://schemas.microsoft.com/office/spreadsheetml/2009/9/main" uri="{BBE1A952-AA13-448e-AADC-164F8A28A991}">
      <x14:slicerCaches>
        <x14:slicerCache r:id="rId20"/>
        <x14:slicerCache r:id="rId21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21" l="1"/>
  <c r="E10" i="21"/>
  <c r="E11" i="21"/>
  <c r="E12" i="21"/>
  <c r="E8" i="21"/>
  <c r="D44" i="15"/>
  <c r="D45" i="15"/>
  <c r="D43" i="15"/>
  <c r="D42" i="15"/>
  <c r="I12" i="16"/>
  <c r="H5" i="16"/>
  <c r="G5" i="16"/>
  <c r="H12" i="16"/>
  <c r="K21" i="16"/>
  <c r="K22" i="16"/>
  <c r="K23" i="16"/>
  <c r="K20" i="16"/>
  <c r="K15" i="16"/>
  <c r="K16" i="16"/>
  <c r="K17" i="16"/>
  <c r="K18" i="16"/>
  <c r="K19" i="16"/>
  <c r="K14" i="16"/>
  <c r="F17" i="16"/>
  <c r="J17" i="16"/>
  <c r="G10" i="16"/>
  <c r="K10" i="16"/>
  <c r="G12" i="16"/>
  <c r="F15" i="16"/>
  <c r="J15" i="16"/>
  <c r="F16" i="16"/>
  <c r="J16" i="16"/>
  <c r="F14" i="16"/>
  <c r="J14" i="16"/>
  <c r="H28" i="15" l="1"/>
  <c r="H26" i="15"/>
  <c r="F34" i="15" l="1"/>
  <c r="E34" i="15"/>
  <c r="I16" i="15" l="1"/>
  <c r="L8" i="15"/>
  <c r="H8" i="15"/>
  <c r="I17" i="15"/>
  <c r="I18" i="15"/>
  <c r="I19" i="15"/>
  <c r="H17" i="15"/>
  <c r="H18" i="15"/>
  <c r="H19" i="15"/>
  <c r="H16" i="15"/>
  <c r="F19" i="15"/>
  <c r="F18" i="15"/>
  <c r="F17" i="15"/>
  <c r="F16" i="15"/>
  <c r="J16" i="15" l="1"/>
  <c r="J19" i="15"/>
  <c r="J18" i="15"/>
  <c r="J17" i="15"/>
  <c r="F14" i="15"/>
  <c r="F22" i="16" l="1"/>
  <c r="J22" i="16"/>
  <c r="R4" i="17" l="1"/>
  <c r="E38" i="15" l="1"/>
  <c r="E37" i="15"/>
  <c r="E36" i="15"/>
  <c r="F22" i="20"/>
  <c r="E22" i="20"/>
  <c r="C22" i="20"/>
  <c r="B22" i="20"/>
  <c r="G18" i="20"/>
  <c r="G17" i="20"/>
  <c r="G16" i="20"/>
  <c r="G22" i="20" l="1"/>
  <c r="E32" i="15"/>
  <c r="E33" i="15"/>
  <c r="E35" i="15"/>
  <c r="H12" i="15"/>
  <c r="L12" i="15"/>
  <c r="F23" i="16" l="1"/>
  <c r="J18" i="16"/>
  <c r="J20" i="16"/>
  <c r="J19" i="16"/>
  <c r="F24" i="15"/>
  <c r="F23" i="15"/>
  <c r="F21" i="16"/>
  <c r="F20" i="16"/>
  <c r="F19" i="16"/>
  <c r="F18" i="16"/>
  <c r="K9" i="16"/>
  <c r="G9" i="16"/>
  <c r="K8" i="16"/>
  <c r="G8" i="16"/>
  <c r="K7" i="16"/>
  <c r="G7" i="16"/>
  <c r="L9" i="15"/>
  <c r="L10" i="15"/>
  <c r="L11" i="15"/>
  <c r="L7" i="15"/>
  <c r="H14" i="15" l="1"/>
  <c r="H5" i="15"/>
  <c r="E45" i="15" l="1"/>
  <c r="E44" i="15"/>
  <c r="E43" i="15"/>
  <c r="E42" i="15"/>
  <c r="F42" i="15"/>
  <c r="F43" i="15"/>
  <c r="F44" i="15"/>
  <c r="F45" i="15"/>
  <c r="I23" i="15"/>
  <c r="I24" i="15"/>
  <c r="F33" i="15"/>
  <c r="H21" i="15"/>
  <c r="H11" i="15"/>
  <c r="H10" i="15"/>
  <c r="H9" i="15"/>
  <c r="H7" i="15"/>
  <c r="F35" i="15" l="1"/>
  <c r="F30" i="15" s="1"/>
  <c r="H42" i="15"/>
  <c r="I42" i="15" s="1"/>
  <c r="J42" i="15" s="1"/>
  <c r="K42" i="15" s="1"/>
  <c r="H45" i="15"/>
  <c r="I45" i="15" s="1"/>
  <c r="J45" i="15" s="1"/>
  <c r="K45" i="15" s="1"/>
  <c r="H43" i="15"/>
  <c r="I43" i="15" s="1"/>
  <c r="J43" i="15" s="1"/>
  <c r="K43" i="15" s="1"/>
  <c r="H44" i="15"/>
  <c r="I44" i="15" s="1"/>
  <c r="J44" i="15" s="1"/>
  <c r="K44" i="15" s="1"/>
  <c r="F36" i="15"/>
  <c r="F37" i="15" l="1"/>
  <c r="F38" i="15" l="1"/>
</calcChain>
</file>

<file path=xl/sharedStrings.xml><?xml version="1.0" encoding="utf-8"?>
<sst xmlns="http://schemas.openxmlformats.org/spreadsheetml/2006/main" count="383" uniqueCount="166">
  <si>
    <t>Faturamento</t>
  </si>
  <si>
    <t>Total</t>
  </si>
  <si>
    <t>Vendas</t>
  </si>
  <si>
    <t>Decorativa</t>
  </si>
  <si>
    <t>Rótulos de Linha</t>
  </si>
  <si>
    <t>Total Geral</t>
  </si>
  <si>
    <t>Água</t>
  </si>
  <si>
    <t>Luz</t>
  </si>
  <si>
    <t>Receita Líquida</t>
  </si>
  <si>
    <t>Qtd</t>
  </si>
  <si>
    <t>Equipamentos</t>
  </si>
  <si>
    <t>Pix</t>
  </si>
  <si>
    <t>Data</t>
  </si>
  <si>
    <t>Pagamento</t>
  </si>
  <si>
    <t>Cartão</t>
  </si>
  <si>
    <t>Domingo</t>
  </si>
  <si>
    <t>Segunda-feira</t>
  </si>
  <si>
    <t>Terça-feira</t>
  </si>
  <si>
    <t>Quarta-feira</t>
  </si>
  <si>
    <t>Quinta-feira</t>
  </si>
  <si>
    <t>Sexta-feira</t>
  </si>
  <si>
    <t>Sábado</t>
  </si>
  <si>
    <t>Pote pequeno</t>
  </si>
  <si>
    <t>Pote grande</t>
  </si>
  <si>
    <t>Pote médio</t>
  </si>
  <si>
    <t>Essências</t>
  </si>
  <si>
    <t>Etiquetas</t>
  </si>
  <si>
    <t>Produção</t>
  </si>
  <si>
    <t>Status</t>
  </si>
  <si>
    <t>Mês</t>
  </si>
  <si>
    <t>Prioridade</t>
  </si>
  <si>
    <t xml:space="preserve"> </t>
  </si>
  <si>
    <t>Atrasado</t>
  </si>
  <si>
    <t>Sumário</t>
  </si>
  <si>
    <t>Entregue</t>
  </si>
  <si>
    <t>Padrão</t>
  </si>
  <si>
    <t>O faturamento representa todas às suas vendas e receitas em um período. Não confunda com receita líquida.</t>
  </si>
  <si>
    <t>🕯️</t>
  </si>
  <si>
    <t>Venda</t>
  </si>
  <si>
    <t>Aguarde cliente</t>
  </si>
  <si>
    <t>Vela</t>
  </si>
  <si>
    <t>Cliente</t>
  </si>
  <si>
    <t>Vlr. Unitário</t>
  </si>
  <si>
    <t>Joana</t>
  </si>
  <si>
    <t>Gabriela</t>
  </si>
  <si>
    <t>Pietra</t>
  </si>
  <si>
    <t>Silvana</t>
  </si>
  <si>
    <t>Patrícia</t>
  </si>
  <si>
    <t>Produzir</t>
  </si>
  <si>
    <t>Matéria-prima</t>
  </si>
  <si>
    <t>Produzidas:</t>
  </si>
  <si>
    <t>Parafinas</t>
  </si>
  <si>
    <t>Produção representa suas despesas para produzir às velas. Ela é descontada do faturamento.</t>
  </si>
  <si>
    <t>Vlr. Uni</t>
  </si>
  <si>
    <t>🔥</t>
  </si>
  <si>
    <t>🥄</t>
  </si>
  <si>
    <t>Panelas</t>
  </si>
  <si>
    <t>Pavios</t>
  </si>
  <si>
    <t>Equipamentos são instrumentos que você utiliza para a manufatura. Despesa de produção.</t>
  </si>
  <si>
    <t>Caixa</t>
  </si>
  <si>
    <t>A Receita Líquida é a seguinte: faturamento - produção - despesas. O resultado é o seu lucro.</t>
  </si>
  <si>
    <t>Despesas</t>
  </si>
  <si>
    <t>🛒</t>
  </si>
  <si>
    <t>💲</t>
  </si>
  <si>
    <t>📃</t>
  </si>
  <si>
    <t>Lucro:</t>
  </si>
  <si>
    <t>Capital Inicial</t>
  </si>
  <si>
    <t>Soma de Total</t>
  </si>
  <si>
    <t>Despesa</t>
  </si>
  <si>
    <t>Fogão portátil</t>
  </si>
  <si>
    <t>Total:</t>
  </si>
  <si>
    <t>Fica a dica:</t>
  </si>
  <si>
    <t>Mês/ano</t>
  </si>
  <si>
    <t>Alta</t>
  </si>
  <si>
    <t>Prazo</t>
  </si>
  <si>
    <t>Soma de Qtd</t>
  </si>
  <si>
    <t>Produto</t>
  </si>
  <si>
    <t>Velas em produção</t>
  </si>
  <si>
    <t>Quando editar algo, vá em Dados e clique em Atualizar Tudo.</t>
  </si>
  <si>
    <t>Clientes</t>
  </si>
  <si>
    <t>Nome</t>
  </si>
  <si>
    <t>Telefone</t>
  </si>
  <si>
    <t>Fornecedores</t>
  </si>
  <si>
    <t>Endereço</t>
  </si>
  <si>
    <t>CPF/CNPJ</t>
  </si>
  <si>
    <t>Frete</t>
  </si>
  <si>
    <t>🤝</t>
  </si>
  <si>
    <t>💼</t>
  </si>
  <si>
    <t>Pedidos</t>
  </si>
  <si>
    <t>Rafaela Costa</t>
  </si>
  <si>
    <t>55 (11) 9999-9999</t>
  </si>
  <si>
    <t>Rua das Figueiras, 99 - Bairro - SP/SP - CEP: 0000</t>
  </si>
  <si>
    <t>000000000-00</t>
  </si>
  <si>
    <t>2 DECORATIVAS</t>
  </si>
  <si>
    <t>Casa das Velas</t>
  </si>
  <si>
    <t>Tipo</t>
  </si>
  <si>
    <t>Sua logo</t>
  </si>
  <si>
    <t>Nome da sua empresa -  CPF/CNPJ - Telefone</t>
  </si>
  <si>
    <t>Rua, Número - Bairro - CEP - Cidade/Estado</t>
  </si>
  <si>
    <t>Celular</t>
  </si>
  <si>
    <t>Orçamento</t>
  </si>
  <si>
    <t>ORÇAMENTO DE PRODUTOS E SERVIÇOS</t>
  </si>
  <si>
    <t>Quantidade</t>
  </si>
  <si>
    <t>Descrição</t>
  </si>
  <si>
    <t>Produto 1</t>
  </si>
  <si>
    <t>Produto 2</t>
  </si>
  <si>
    <t>Produto 3</t>
  </si>
  <si>
    <t>Produtos</t>
  </si>
  <si>
    <t>Lucro Bruto</t>
  </si>
  <si>
    <t>Margem</t>
  </si>
  <si>
    <t>Capital Inicial + Vendas</t>
  </si>
  <si>
    <t>Receita Total - Despesas</t>
  </si>
  <si>
    <t>Lucro Bruto / Receita Total</t>
  </si>
  <si>
    <t>Essência Azul</t>
  </si>
  <si>
    <t>TABELA DE PREÇOS</t>
  </si>
  <si>
    <t>Preço</t>
  </si>
  <si>
    <t>Especial</t>
  </si>
  <si>
    <t xml:space="preserve">    </t>
  </si>
  <si>
    <t>Produzida</t>
  </si>
  <si>
    <t>Imagem</t>
  </si>
  <si>
    <t>Nome alterável em preços</t>
  </si>
  <si>
    <t>% do Lucro</t>
  </si>
  <si>
    <t>Estoque</t>
  </si>
  <si>
    <t>📦</t>
  </si>
  <si>
    <t>Estoques</t>
  </si>
  <si>
    <t>Inicial:</t>
  </si>
  <si>
    <t>Produzidas</t>
  </si>
  <si>
    <t>Depreciando:</t>
  </si>
  <si>
    <t>Histórico de Caixa</t>
  </si>
  <si>
    <t>Ano</t>
  </si>
  <si>
    <t>Impostos</t>
  </si>
  <si>
    <t>Lucro</t>
  </si>
  <si>
    <t>Fevereiro</t>
  </si>
  <si>
    <t>Lucro Líquido</t>
  </si>
  <si>
    <t>Impostos:</t>
  </si>
  <si>
    <t>Detalhes</t>
  </si>
  <si>
    <t>Imposto</t>
  </si>
  <si>
    <t>MEI</t>
  </si>
  <si>
    <t>81,05 INSS + 5,00 ICMS</t>
  </si>
  <si>
    <t>Formar preço</t>
  </si>
  <si>
    <t>Custos/preços</t>
  </si>
  <si>
    <t>Despesas variáveis</t>
  </si>
  <si>
    <t>Despesas fixas</t>
  </si>
  <si>
    <t>Conta</t>
  </si>
  <si>
    <t>Markup</t>
  </si>
  <si>
    <t>Preço de venda</t>
  </si>
  <si>
    <t>1.</t>
  </si>
  <si>
    <t>Este arquivo digital pertence a Cloud Excel, e por meio desta, é revendida para terceiros.</t>
  </si>
  <si>
    <t>2.</t>
  </si>
  <si>
    <t>Você não está autorizado a copiar, burlar ou revender qualquer conteúdo que se faz presente neste arquivo digital.</t>
  </si>
  <si>
    <t>3.</t>
  </si>
  <si>
    <t>Ao comprar o arquivo digital, você não terá direito de contestar a compra, a não ser que prove que nosso arquivo está com graves problemas ou que sua compra foi feita por terceiros em seu nome.</t>
  </si>
  <si>
    <t>4.</t>
  </si>
  <si>
    <t>Você terá direito a apoio e auxílio no uso do arquivo, por meio de nosso site (chat disponível para uso 24 horas por dia).</t>
  </si>
  <si>
    <t>5.</t>
  </si>
  <si>
    <t>Recomendamos que você tenha uma experiência básica no aplicativo Excel para utilizar nossos produtos, porém não é obrigatório.</t>
  </si>
  <si>
    <t>6.</t>
  </si>
  <si>
    <t>Você não está autorizado a apagar, mover ou modificar a planilha "Cloud Excel".</t>
  </si>
  <si>
    <t xml:space="preserve">© </t>
  </si>
  <si>
    <t>Cloud Excel, 2026</t>
  </si>
  <si>
    <t xml:space="preserve">  </t>
  </si>
  <si>
    <t>Embalagens</t>
  </si>
  <si>
    <t>Matéria-prima:</t>
  </si>
  <si>
    <t>Investimento</t>
  </si>
  <si>
    <t>Insumo</t>
  </si>
  <si>
    <t>Custo p/Vela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</si>
</sst>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  <numFmt numFmtId="165" formatCode="0.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0"/>
      <color rgb="FF434343"/>
      <name val="Arial"/>
      <family val="2"/>
    </font>
    <font>
      <sz val="28"/>
      <color theme="0"/>
      <name val="Arial"/>
      <family val="2"/>
    </font>
    <font>
      <b/>
      <sz val="28"/>
      <color theme="0"/>
      <name val="Arial"/>
      <family val="2"/>
    </font>
    <font>
      <b/>
      <sz val="14"/>
      <color theme="0"/>
      <name val="Arial"/>
      <family val="2"/>
    </font>
    <font>
      <b/>
      <sz val="11"/>
      <color rgb="FFCFE2F3"/>
      <name val="Arial"/>
      <family val="2"/>
    </font>
    <font>
      <sz val="11"/>
      <color rgb="FFCFE2F3"/>
      <name val="Arial"/>
      <family val="2"/>
    </font>
    <font>
      <b/>
      <sz val="14"/>
      <color rgb="FFFFFFFF"/>
      <name val="Arial"/>
      <family val="2"/>
    </font>
    <font>
      <sz val="14"/>
      <color rgb="FFFFFFFF"/>
      <name val="Arial"/>
      <family val="2"/>
    </font>
    <font>
      <b/>
      <sz val="10"/>
      <color theme="0"/>
      <name val="Arial"/>
      <family val="2"/>
    </font>
    <font>
      <sz val="10"/>
      <color rgb="FF6FA8DC"/>
      <name val="Arial"/>
      <family val="2"/>
    </font>
    <font>
      <sz val="11"/>
      <color rgb="FF2D3538"/>
      <name val="Arial"/>
      <family val="2"/>
    </font>
    <font>
      <sz val="14"/>
      <color rgb="FF2D3538"/>
      <name val="Arial"/>
      <family val="2"/>
    </font>
    <font>
      <b/>
      <sz val="18"/>
      <color rgb="FFFFFFFF"/>
      <name val="Arial"/>
      <family val="2"/>
    </font>
    <font>
      <sz val="9"/>
      <color rgb="FF434343"/>
      <name val="Arial"/>
      <family val="2"/>
    </font>
    <font>
      <sz val="10"/>
      <color rgb="FF434343"/>
      <name val="Arial"/>
      <family val="2"/>
    </font>
    <font>
      <b/>
      <sz val="11"/>
      <color rgb="FF434343"/>
      <name val="Arial"/>
      <family val="2"/>
    </font>
    <font>
      <b/>
      <sz val="14"/>
      <color rgb="FF2D3538"/>
      <name val="Arial"/>
      <family val="2"/>
    </font>
    <font>
      <sz val="18"/>
      <color rgb="FFFFFFFF"/>
      <name val="Arial"/>
      <family val="2"/>
    </font>
    <font>
      <sz val="11"/>
      <color theme="1"/>
      <name val="Arial"/>
      <family val="2"/>
    </font>
    <font>
      <sz val="8"/>
      <color rgb="FF6FA8DC"/>
      <name val="Arial"/>
      <family val="2"/>
    </font>
    <font>
      <sz val="11"/>
      <color rgb="FF434343"/>
      <name val="Arial"/>
      <family val="2"/>
    </font>
    <font>
      <u/>
      <sz val="9"/>
      <color rgb="FF666666"/>
      <name val="Arial"/>
      <family val="2"/>
    </font>
    <font>
      <b/>
      <sz val="13"/>
      <color theme="0"/>
      <name val="Arial"/>
      <family val="2"/>
    </font>
    <font>
      <b/>
      <sz val="20"/>
      <color theme="0"/>
      <name val="Arial"/>
      <family val="2"/>
    </font>
    <font>
      <b/>
      <sz val="15"/>
      <color theme="1"/>
      <name val="Calibri"/>
      <family val="2"/>
      <scheme val="minor"/>
    </font>
    <font>
      <b/>
      <i/>
      <sz val="11"/>
      <color theme="0"/>
      <name val="Arial"/>
      <family val="2"/>
    </font>
    <font>
      <b/>
      <i/>
      <sz val="11"/>
      <color rgb="FFFFFFFF"/>
      <name val="Arial"/>
      <family val="2"/>
    </font>
    <font>
      <b/>
      <sz val="12"/>
      <color rgb="FFFFFFFF"/>
      <name val="Arial"/>
      <family val="2"/>
    </font>
    <font>
      <b/>
      <sz val="15"/>
      <color theme="1"/>
      <name val="Arial"/>
      <family val="2"/>
    </font>
    <font>
      <sz val="11"/>
      <color theme="1"/>
      <name val="Abadi"/>
      <family val="2"/>
    </font>
    <font>
      <b/>
      <sz val="14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B5A781"/>
        <bgColor rgb="FF9D1919"/>
      </patternFill>
    </fill>
    <fill>
      <patternFill patternType="solid">
        <fgColor rgb="FFC3B899"/>
        <bgColor rgb="FFC00000"/>
      </patternFill>
    </fill>
    <fill>
      <patternFill patternType="solid">
        <fgColor rgb="FFC3B899"/>
        <bgColor rgb="FF245831"/>
      </patternFill>
    </fill>
    <fill>
      <patternFill patternType="solid">
        <fgColor rgb="FFB5A781"/>
        <bgColor rgb="FF245831"/>
      </patternFill>
    </fill>
    <fill>
      <patternFill patternType="solid">
        <fgColor rgb="FFC3B899"/>
        <bgColor rgb="FF3969AD"/>
      </patternFill>
    </fill>
    <fill>
      <patternFill patternType="solid">
        <fgColor rgb="FFC3B899"/>
        <bgColor rgb="FFFFFFFF"/>
      </patternFill>
    </fill>
    <fill>
      <patternFill patternType="solid">
        <fgColor rgb="FFD5CEB9"/>
        <bgColor rgb="FFFFFFFF"/>
      </patternFill>
    </fill>
    <fill>
      <patternFill patternType="solid">
        <fgColor rgb="FF854B81"/>
        <bgColor rgb="FF245831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245831"/>
      </patternFill>
    </fill>
  </fills>
  <borders count="11">
    <border>
      <left/>
      <right/>
      <top/>
      <bottom/>
      <diagonal/>
    </border>
    <border>
      <left/>
      <right/>
      <top style="thick">
        <color rgb="FFEFEFEF"/>
      </top>
      <bottom style="thick">
        <color rgb="FFEFEFEF"/>
      </bottom>
      <diagonal/>
    </border>
    <border>
      <left/>
      <right/>
      <top/>
      <bottom style="thick">
        <color rgb="FFEFEFEF"/>
      </bottom>
      <diagonal/>
    </border>
    <border>
      <left style="thick">
        <color rgb="FFEFEFEF"/>
      </left>
      <right/>
      <top style="thick">
        <color rgb="FFEFEFEF"/>
      </top>
      <bottom style="thick">
        <color rgb="FFEFEFEF"/>
      </bottom>
      <diagonal/>
    </border>
    <border>
      <left/>
      <right/>
      <top style="thick">
        <color rgb="FFEFEFEF"/>
      </top>
      <bottom/>
      <diagonal/>
    </border>
    <border>
      <left style="thick">
        <color rgb="FFD9D9D9"/>
      </left>
      <right style="thick">
        <color rgb="FFD9D9D9"/>
      </right>
      <top style="thick">
        <color rgb="FFD9D9D9"/>
      </top>
      <bottom style="thick">
        <color rgb="FFD9D9D9"/>
      </bottom>
      <diagonal/>
    </border>
    <border>
      <left style="thick">
        <color rgb="FFD9D9D9"/>
      </left>
      <right/>
      <top style="thick">
        <color rgb="FFD9D9D9"/>
      </top>
      <bottom style="thick">
        <color rgb="FFD9D9D9"/>
      </bottom>
      <diagonal/>
    </border>
    <border>
      <left/>
      <right style="thick">
        <color rgb="FFD9D9D9"/>
      </right>
      <top style="thick">
        <color rgb="FFD9D9D9"/>
      </top>
      <bottom style="thick">
        <color rgb="FFD9D9D9"/>
      </bottom>
      <diagonal/>
    </border>
    <border>
      <left style="thick">
        <color rgb="FFD9D9D9"/>
      </left>
      <right style="thick">
        <color rgb="FFD9D9D9"/>
      </right>
      <top style="thick">
        <color rgb="FFD9D9D9"/>
      </top>
      <bottom/>
      <diagonal/>
    </border>
    <border>
      <left/>
      <right/>
      <top/>
      <bottom style="thin">
        <color rgb="FFB5A781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vertical="center"/>
    </xf>
    <xf numFmtId="0" fontId="14" fillId="3" borderId="2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14" fillId="3" borderId="3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center"/>
    </xf>
    <xf numFmtId="17" fontId="19" fillId="2" borderId="1" xfId="0" applyNumberFormat="1" applyFont="1" applyFill="1" applyBorder="1" applyAlignment="1">
      <alignment horizontal="left" vertical="center"/>
    </xf>
    <xf numFmtId="164" fontId="19" fillId="2" borderId="1" xfId="0" applyNumberFormat="1" applyFont="1" applyFill="1" applyBorder="1" applyAlignment="1">
      <alignment horizontal="center" vertical="center"/>
    </xf>
    <xf numFmtId="14" fontId="19" fillId="2" borderId="1" xfId="0" applyNumberFormat="1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left" vertical="center" wrapText="1"/>
    </xf>
    <xf numFmtId="14" fontId="19" fillId="2" borderId="4" xfId="0" applyNumberFormat="1" applyFont="1" applyFill="1" applyBorder="1" applyAlignment="1">
      <alignment horizontal="left" vertical="center"/>
    </xf>
    <xf numFmtId="164" fontId="19" fillId="2" borderId="4" xfId="0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vertical="center"/>
    </xf>
    <xf numFmtId="0" fontId="15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vertical="center"/>
    </xf>
    <xf numFmtId="0" fontId="22" fillId="3" borderId="4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right" vertical="center"/>
    </xf>
    <xf numFmtId="0" fontId="24" fillId="4" borderId="5" xfId="0" applyFont="1" applyFill="1" applyBorder="1" applyAlignment="1">
      <alignment vertical="center"/>
    </xf>
    <xf numFmtId="0" fontId="19" fillId="4" borderId="5" xfId="0" applyFont="1" applyFill="1" applyBorder="1" applyAlignment="1">
      <alignment vertical="center"/>
    </xf>
    <xf numFmtId="0" fontId="24" fillId="4" borderId="5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right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right" vertical="top"/>
    </xf>
    <xf numFmtId="0" fontId="24" fillId="4" borderId="8" xfId="0" applyFont="1" applyFill="1" applyBorder="1" applyAlignment="1">
      <alignment vertical="center"/>
    </xf>
    <xf numFmtId="0" fontId="24" fillId="4" borderId="7" xfId="0" applyFont="1" applyFill="1" applyBorder="1" applyAlignment="1">
      <alignment vertical="center"/>
    </xf>
    <xf numFmtId="0" fontId="8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11" fillId="6" borderId="0" xfId="0" applyFont="1" applyFill="1" applyAlignment="1">
      <alignment horizontal="left" vertical="top"/>
    </xf>
    <xf numFmtId="0" fontId="9" fillId="6" borderId="0" xfId="0" applyFont="1" applyFill="1" applyAlignment="1">
      <alignment vertical="top"/>
    </xf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vertical="center"/>
    </xf>
    <xf numFmtId="164" fontId="7" fillId="7" borderId="2" xfId="0" applyNumberFormat="1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vertical="center"/>
    </xf>
    <xf numFmtId="0" fontId="11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164" fontId="7" fillId="8" borderId="1" xfId="0" applyNumberFormat="1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left" vertical="top"/>
    </xf>
    <xf numFmtId="0" fontId="13" fillId="6" borderId="9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center" vertical="center"/>
    </xf>
    <xf numFmtId="0" fontId="21" fillId="9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vertical="center"/>
    </xf>
    <xf numFmtId="0" fontId="21" fillId="9" borderId="1" xfId="0" applyFont="1" applyFill="1" applyBorder="1" applyAlignment="1">
      <alignment vertical="center"/>
    </xf>
    <xf numFmtId="0" fontId="7" fillId="6" borderId="0" xfId="0" applyFont="1" applyFill="1"/>
    <xf numFmtId="165" fontId="10" fillId="6" borderId="0" xfId="0" applyNumberFormat="1" applyFont="1" applyFill="1" applyAlignment="1">
      <alignment vertical="top"/>
    </xf>
    <xf numFmtId="0" fontId="18" fillId="4" borderId="0" xfId="0" applyFont="1" applyFill="1" applyAlignment="1">
      <alignment horizontal="center" vertical="center"/>
    </xf>
    <xf numFmtId="0" fontId="18" fillId="4" borderId="7" xfId="0" applyFont="1" applyFill="1" applyBorder="1" applyAlignment="1">
      <alignment vertical="center"/>
    </xf>
    <xf numFmtId="0" fontId="18" fillId="4" borderId="7" xfId="0" applyFont="1" applyFill="1" applyBorder="1" applyAlignment="1">
      <alignment horizontal="left" vertical="center"/>
    </xf>
    <xf numFmtId="0" fontId="0" fillId="0" borderId="0" xfId="0" pivotButton="1"/>
    <xf numFmtId="0" fontId="0" fillId="0" borderId="0" xfId="0" applyAlignment="1">
      <alignment horizontal="left"/>
    </xf>
    <xf numFmtId="44" fontId="0" fillId="0" borderId="0" xfId="0" applyNumberFormat="1"/>
    <xf numFmtId="0" fontId="10" fillId="8" borderId="4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vertical="center"/>
    </xf>
    <xf numFmtId="0" fontId="11" fillId="8" borderId="4" xfId="0" applyFont="1" applyFill="1" applyBorder="1" applyAlignment="1">
      <alignment vertical="center"/>
    </xf>
    <xf numFmtId="0" fontId="10" fillId="8" borderId="4" xfId="0" applyFont="1" applyFill="1" applyBorder="1" applyAlignment="1">
      <alignment vertical="center"/>
    </xf>
    <xf numFmtId="0" fontId="10" fillId="8" borderId="4" xfId="0" applyFont="1" applyFill="1" applyBorder="1" applyAlignment="1">
      <alignment horizontal="left" vertical="center"/>
    </xf>
    <xf numFmtId="164" fontId="7" fillId="8" borderId="4" xfId="0" applyNumberFormat="1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vertical="center"/>
    </xf>
    <xf numFmtId="17" fontId="19" fillId="2" borderId="4" xfId="0" applyNumberFormat="1" applyFont="1" applyFill="1" applyBorder="1" applyAlignment="1">
      <alignment horizontal="left" vertical="center"/>
    </xf>
    <xf numFmtId="44" fontId="4" fillId="2" borderId="1" xfId="2" applyFont="1" applyFill="1" applyBorder="1" applyAlignment="1">
      <alignment vertical="center" wrapText="1"/>
    </xf>
    <xf numFmtId="0" fontId="26" fillId="10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44" fontId="4" fillId="2" borderId="4" xfId="2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28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4" fillId="2" borderId="1" xfId="2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4" fontId="4" fillId="2" borderId="0" xfId="2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vertical="center" wrapText="1"/>
    </xf>
    <xf numFmtId="0" fontId="17" fillId="3" borderId="2" xfId="0" applyFont="1" applyFill="1" applyBorder="1" applyAlignment="1">
      <alignment vertical="center"/>
    </xf>
    <xf numFmtId="10" fontId="19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0" fillId="9" borderId="1" xfId="0" applyFont="1" applyFill="1" applyBorder="1" applyAlignment="1">
      <alignment vertical="center"/>
    </xf>
    <xf numFmtId="0" fontId="4" fillId="11" borderId="1" xfId="0" applyFont="1" applyFill="1" applyBorder="1" applyAlignment="1">
      <alignment horizontal="center" vertical="center" wrapText="1"/>
    </xf>
    <xf numFmtId="10" fontId="19" fillId="2" borderId="1" xfId="0" applyNumberFormat="1" applyFont="1" applyFill="1" applyBorder="1" applyAlignment="1">
      <alignment horizontal="center" vertical="center"/>
    </xf>
    <xf numFmtId="14" fontId="19" fillId="2" borderId="1" xfId="0" applyNumberFormat="1" applyFont="1" applyFill="1" applyBorder="1" applyAlignment="1">
      <alignment horizontal="center" vertical="center"/>
    </xf>
    <xf numFmtId="17" fontId="19" fillId="2" borderId="1" xfId="0" applyNumberFormat="1" applyFont="1" applyFill="1" applyBorder="1" applyAlignment="1">
      <alignment horizontal="center" vertical="center"/>
    </xf>
    <xf numFmtId="17" fontId="19" fillId="2" borderId="4" xfId="0" applyNumberFormat="1" applyFont="1" applyFill="1" applyBorder="1" applyAlignment="1">
      <alignment horizontal="center" vertical="center"/>
    </xf>
    <xf numFmtId="14" fontId="19" fillId="2" borderId="4" xfId="0" applyNumberFormat="1" applyFont="1" applyFill="1" applyBorder="1" applyAlignment="1">
      <alignment horizontal="center" vertical="center"/>
    </xf>
    <xf numFmtId="164" fontId="10" fillId="8" borderId="4" xfId="0" applyNumberFormat="1" applyFont="1" applyFill="1" applyBorder="1" applyAlignment="1">
      <alignment horizontal="center" vertical="center"/>
    </xf>
    <xf numFmtId="10" fontId="7" fillId="8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11" borderId="1" xfId="0" applyFont="1" applyFill="1" applyBorder="1" applyAlignment="1">
      <alignment horizontal="left" vertical="center" wrapText="1"/>
    </xf>
    <xf numFmtId="164" fontId="0" fillId="0" borderId="0" xfId="0" applyNumberFormat="1"/>
    <xf numFmtId="0" fontId="20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1" fontId="19" fillId="2" borderId="1" xfId="0" applyNumberFormat="1" applyFont="1" applyFill="1" applyBorder="1" applyAlignment="1">
      <alignment horizontal="center" vertical="center"/>
    </xf>
    <xf numFmtId="44" fontId="19" fillId="2" borderId="4" xfId="2" applyFont="1" applyFill="1" applyBorder="1" applyAlignment="1">
      <alignment horizontal="left" vertical="center"/>
    </xf>
    <xf numFmtId="0" fontId="31" fillId="8" borderId="2" xfId="0" applyFont="1" applyFill="1" applyBorder="1" applyAlignment="1">
      <alignment vertical="center"/>
    </xf>
    <xf numFmtId="0" fontId="21" fillId="3" borderId="0" xfId="0" applyFont="1" applyFill="1" applyAlignment="1">
      <alignment horizontal="center" vertical="center"/>
    </xf>
    <xf numFmtId="8" fontId="19" fillId="2" borderId="4" xfId="0" applyNumberFormat="1" applyFont="1" applyFill="1" applyBorder="1" applyAlignment="1">
      <alignment horizontal="left" vertical="center" wrapText="1"/>
    </xf>
    <xf numFmtId="44" fontId="19" fillId="2" borderId="4" xfId="0" applyNumberFormat="1" applyFont="1" applyFill="1" applyBorder="1" applyAlignment="1">
      <alignment horizontal="center" vertical="center"/>
    </xf>
    <xf numFmtId="44" fontId="19" fillId="2" borderId="4" xfId="2" applyFont="1" applyFill="1" applyBorder="1" applyAlignment="1">
      <alignment horizontal="center" vertical="center"/>
    </xf>
    <xf numFmtId="44" fontId="10" fillId="8" borderId="4" xfId="2" applyFont="1" applyFill="1" applyBorder="1" applyAlignment="1">
      <alignment horizontal="center" vertical="center"/>
    </xf>
    <xf numFmtId="44" fontId="19" fillId="2" borderId="1" xfId="2" applyFont="1" applyFill="1" applyBorder="1" applyAlignment="1">
      <alignment horizontal="left" vertical="center"/>
    </xf>
    <xf numFmtId="9" fontId="19" fillId="2" borderId="2" xfId="3" applyFont="1" applyFill="1" applyBorder="1" applyAlignment="1">
      <alignment horizontal="center" vertical="center"/>
    </xf>
    <xf numFmtId="10" fontId="19" fillId="2" borderId="2" xfId="0" applyNumberFormat="1" applyFont="1" applyFill="1" applyBorder="1" applyAlignment="1">
      <alignment horizontal="center" vertical="center"/>
    </xf>
    <xf numFmtId="44" fontId="19" fillId="2" borderId="2" xfId="2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0" fillId="0" borderId="0" xfId="0" applyNumberFormat="1"/>
    <xf numFmtId="0" fontId="32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44" fontId="4" fillId="2" borderId="1" xfId="2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>
      <alignment horizontal="center" vertical="center"/>
    </xf>
    <xf numFmtId="0" fontId="10" fillId="12" borderId="4" xfId="0" applyFont="1" applyFill="1" applyBorder="1" applyAlignment="1">
      <alignment vertical="center"/>
    </xf>
    <xf numFmtId="0" fontId="10" fillId="12" borderId="4" xfId="0" applyFont="1" applyFill="1" applyBorder="1" applyAlignment="1">
      <alignment horizontal="center" vertical="center"/>
    </xf>
    <xf numFmtId="164" fontId="19" fillId="13" borderId="2" xfId="0" applyNumberFormat="1" applyFont="1" applyFill="1" applyBorder="1" applyAlignment="1">
      <alignment horizontal="center" vertical="center"/>
    </xf>
    <xf numFmtId="164" fontId="34" fillId="14" borderId="1" xfId="0" applyNumberFormat="1" applyFont="1" applyFill="1" applyBorder="1" applyAlignment="1">
      <alignment horizontal="center" vertical="center"/>
    </xf>
    <xf numFmtId="0" fontId="34" fillId="14" borderId="1" xfId="0" applyNumberFormat="1" applyFont="1" applyFill="1" applyBorder="1" applyAlignment="1">
      <alignment horizontal="center" vertical="center"/>
    </xf>
    <xf numFmtId="164" fontId="34" fillId="14" borderId="4" xfId="0" applyNumberFormat="1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164" fontId="29" fillId="6" borderId="0" xfId="0" applyNumberFormat="1" applyFont="1" applyFill="1" applyAlignment="1">
      <alignment horizontal="left" vertical="center" wrapText="1"/>
    </xf>
    <xf numFmtId="164" fontId="29" fillId="6" borderId="9" xfId="0" applyNumberFormat="1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0" fontId="27" fillId="10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4" fontId="4" fillId="2" borderId="1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3" fillId="0" borderId="0" xfId="0" applyFont="1" applyAlignment="1" applyProtection="1">
      <alignment horizontal="left" vertical="center" wrapText="1"/>
      <protection hidden="1"/>
    </xf>
  </cellXfs>
  <cellStyles count="4">
    <cellStyle name="Moeda" xfId="2" builtinId="4"/>
    <cellStyle name="Moeda 2" xfId="1" xr:uid="{4732B2DA-B8D7-44A4-ABE3-675B66A8E4A9}"/>
    <cellStyle name="Normal" xfId="0" builtinId="0"/>
    <cellStyle name="Porcentagem" xfId="3" builtinId="5"/>
  </cellStyles>
  <dxfs count="28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border outline="0">
        <top style="thick">
          <color rgb="FFEFEFEF"/>
        </top>
      </border>
    </dxf>
    <dxf>
      <border outline="0"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</dxf>
    <dxf>
      <border outline="0"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rial"/>
        <family val="2"/>
        <scheme val="none"/>
      </font>
      <fill>
        <patternFill patternType="solid">
          <fgColor rgb="FFFFFFFF"/>
          <bgColor rgb="FFC3B899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border outline="0">
        <top style="thick">
          <color rgb="FFEFEFEF"/>
        </top>
      </border>
    </dxf>
    <dxf>
      <border outline="0"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</dxf>
    <dxf>
      <border outline="0"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rial"/>
        <family val="2"/>
        <scheme val="none"/>
      </font>
      <fill>
        <patternFill patternType="solid">
          <fgColor rgb="FFFFFFFF"/>
          <bgColor rgb="FFC3B899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22" formatCode="mmm/yy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border outline="0">
        <top style="thick">
          <color rgb="FFEFEFEF"/>
        </top>
      </border>
    </dxf>
    <dxf>
      <border outline="0"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</dxf>
    <dxf>
      <border outline="0"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245831"/>
          <bgColor rgb="FFB5A781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rgb="FFD9D2E9"/>
          <bgColor rgb="FFD9D2E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64" formatCode="&quot;R$&quot;\ #,##0.00"/>
      <fill>
        <patternFill patternType="solid">
          <fgColor rgb="FFFFFFFF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64" formatCode="&quot;R$&quot;\ 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64" formatCode="&quot;R$&quot;\ 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D9D9D9"/>
          <bgColor rgb="FFD9D9D9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rgb="FFD9D9D9"/>
        </left>
        <right style="thick">
          <color rgb="FFD9D9D9"/>
        </right>
        <top style="thick">
          <color rgb="FFD9D9D9"/>
        </top>
        <bottom style="thick">
          <color rgb="FFD9D9D9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22" formatCode="mmm/yy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9" formatCode="dd/mm/yyyy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D9D9D9"/>
          <bgColor rgb="FFD9D9D9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ck">
          <color rgb="FFD9D9D9"/>
        </right>
        <top style="thick">
          <color rgb="FFD9D9D9"/>
        </top>
        <bottom style="thick">
          <color rgb="FFD9D9D9"/>
        </bottom>
        <vertical/>
        <horizontal/>
      </border>
    </dxf>
    <dxf>
      <border outline="0"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245831"/>
          <bgColor rgb="FFC3B89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434343"/>
        <name val="Arial"/>
        <family val="2"/>
        <scheme val="none"/>
      </font>
      <numFmt numFmtId="164" formatCode="&quot;R$&quot;\ 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434343"/>
        <name val="Arial"/>
        <family val="2"/>
        <scheme val="none"/>
      </font>
      <numFmt numFmtId="164" formatCode="&quot;R$&quot;\ 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64" formatCode="&quot;R$&quot;\ 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22" formatCode="mmm/yy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9" formatCode="dd/mm/yyyy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border outline="0">
        <top style="thick">
          <color rgb="FFEFEFEF"/>
        </top>
      </border>
    </dxf>
    <dxf>
      <border outline="0">
        <top style="thick">
          <color rgb="FFEFEFEF"/>
        </top>
        <bottom style="thick">
          <color rgb="FFEFEFEF"/>
        </bottom>
      </border>
    </dxf>
    <dxf>
      <border outline="0">
        <bottom style="thick">
          <color rgb="FFEFEFEF"/>
        </bottom>
      </border>
    </dxf>
    <dxf>
      <font>
        <b/>
        <strike val="0"/>
        <outline val="0"/>
        <shadow val="0"/>
        <u val="none"/>
        <vertAlign val="baseline"/>
        <sz val="14"/>
        <name val="Arial"/>
        <family val="2"/>
        <scheme val="none"/>
      </font>
      <fill>
        <patternFill patternType="solid">
          <fgColor rgb="FF245831"/>
          <bgColor rgb="FFC3B89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9FC5E8"/>
          <bgColor rgb="FF9FC5E8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9FC5E8"/>
          <bgColor rgb="FF9FC5E8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B4A7D6"/>
          <bgColor rgb="FFB4A7D6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9FC5E8"/>
          <bgColor rgb="FF9FC5E8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9FC5E8"/>
          <bgColor rgb="FF9FC5E8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9FC5E8"/>
          <bgColor rgb="FF9FC5E8"/>
        </patternFill>
      </fill>
    </dxf>
    <dxf>
      <fill>
        <patternFill patternType="solid">
          <fgColor rgb="FFD9D2E9"/>
          <bgColor rgb="FFD9D2E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22" formatCode="mmm/yy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2" formatCode="&quot;R$&quot;\ #,##0.00;[Red]\-&quot;R$&quot;\ #,##0.00"/>
      <fill>
        <patternFill patternType="solid">
          <fgColor rgb="FFFFFFFF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border outline="0">
        <top style="thick">
          <color rgb="FFEFEFEF"/>
        </top>
      </border>
    </dxf>
    <dxf>
      <border outline="0"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245831"/>
          <bgColor rgb="FFC3B89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D9D9D9"/>
          <bgColor rgb="FFD9D9D9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ck">
          <color rgb="FFD9D9D9"/>
        </right>
        <top style="thick">
          <color rgb="FFD9D9D9"/>
        </top>
        <bottom style="thick">
          <color rgb="FFD9D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22" formatCode="mmm/yy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9" formatCode="dd/mm/yyyy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D9D9D9"/>
          <bgColor rgb="FFD9D9D9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ck">
          <color rgb="FFD9D9D9"/>
        </right>
        <top style="thick">
          <color rgb="FFD9D9D9"/>
        </top>
        <bottom style="thick">
          <color rgb="FFD9D9D9"/>
        </bottom>
        <vertical/>
        <horizontal/>
      </border>
    </dxf>
    <dxf>
      <border outline="0"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245831"/>
          <bgColor rgb="FFC3B89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64" formatCode="&quot;R$&quot;\ 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64" formatCode="&quot;R$&quot;\ 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22" formatCode="mmm/yy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22" formatCode="mmm/yy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9" formatCode="dd/mm/yyyy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9" formatCode="dd/mm/yyyy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/>
      </border>
    </dxf>
    <dxf>
      <border outline="0">
        <top style="thick">
          <color rgb="FFEFEFEF"/>
        </top>
      </border>
    </dxf>
    <dxf>
      <border outline="0">
        <top style="thick">
          <color rgb="FFEFEFEF"/>
        </top>
        <bottom style="thick">
          <color rgb="FFEFEFEF"/>
        </bottom>
      </border>
    </dxf>
    <dxf>
      <border outline="0"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245831"/>
          <bgColor rgb="FFC3B89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4" formatCode="0.00%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64" formatCode="&quot;R$&quot;\ 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D9D9D9"/>
          <bgColor rgb="FFD9D9D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22" formatCode="mmm/yy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9" formatCode="dd/mm/yyyy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D9D9D9"/>
          <bgColor rgb="FFD9D9D9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ck">
          <color rgb="FFD9D9D9"/>
        </right>
        <top style="thick">
          <color rgb="FFD9D9D9"/>
        </top>
        <bottom style="thick">
          <color rgb="FFD9D9D9"/>
        </bottom>
        <vertical/>
        <horizontal/>
      </border>
    </dxf>
    <dxf>
      <border outline="0">
        <top style="thick">
          <color rgb="FFEFEFEF"/>
        </top>
        <bottom style="thick">
          <color rgb="FFEFEFEF"/>
        </bottom>
      </border>
    </dxf>
    <dxf>
      <border outline="0"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245831"/>
          <bgColor rgb="FFC3B899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434343"/>
        <name val="Arial"/>
        <family val="2"/>
        <scheme val="none"/>
      </font>
      <numFmt numFmtId="164" formatCode="&quot;R$&quot;\ 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434343"/>
        <name val="Arial"/>
        <family val="2"/>
        <scheme val="none"/>
      </font>
      <numFmt numFmtId="164" formatCode="&quot;R$&quot;\ 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64" formatCode="&quot;R$&quot;\ 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D9D9D9"/>
          <bgColor rgb="FFD9D9D9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rgb="FFD9D9D9"/>
        </left>
        <right style="thick">
          <color rgb="FFD9D9D9"/>
        </right>
        <top style="thick">
          <color rgb="FFD9D9D9"/>
        </top>
        <bottom style="thick">
          <color rgb="FFD9D9D9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22" formatCode="mmm/yy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9" formatCode="dd/mm/yyyy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border outline="0">
        <top style="thick">
          <color rgb="FFEFEFEF"/>
        </top>
      </border>
    </dxf>
    <dxf>
      <border outline="0">
        <top style="thick">
          <color rgb="FFEFEFEF"/>
        </top>
        <bottom style="thick">
          <color rgb="FFEFEFEF"/>
        </bottom>
      </border>
    </dxf>
    <dxf>
      <border outline="0">
        <bottom style="thick">
          <color rgb="FFEFEFEF"/>
        </bottom>
      </border>
    </dxf>
    <dxf>
      <font>
        <b/>
        <strike val="0"/>
        <outline val="0"/>
        <shadow val="0"/>
        <u val="none"/>
        <vertAlign val="baseline"/>
        <sz val="14"/>
        <name val="Arial"/>
        <family val="2"/>
        <scheme val="none"/>
      </font>
      <fill>
        <patternFill patternType="solid">
          <fgColor rgb="FF245831"/>
          <bgColor rgb="FFC3B899"/>
        </patternFill>
      </fill>
      <alignment horizontal="center" textRotation="0" wrapText="0" indent="0" justifyLastLine="0" shrinkToFit="0" readingOrder="0"/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9FC5E8"/>
          <bgColor rgb="FF9FC5E8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B4A7D6"/>
          <bgColor rgb="FFB4A7D6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9FC5E8"/>
          <bgColor rgb="FF9FC5E8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9FC5E8"/>
          <bgColor rgb="FF9FC5E8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9FC5E8"/>
          <bgColor rgb="FF9FC5E8"/>
        </patternFill>
      </fill>
    </dxf>
    <dxf>
      <fill>
        <patternFill patternType="solid">
          <fgColor rgb="FFD9D2E9"/>
          <bgColor rgb="FFD9D2E9"/>
        </patternFill>
      </fill>
    </dxf>
    <dxf>
      <font>
        <color theme="0"/>
        <name val="Abadi"/>
        <family val="2"/>
        <scheme val="none"/>
      </font>
      <fill>
        <patternFill patternType="solid">
          <fgColor auto="1"/>
          <bgColor rgb="FFCDC5AC"/>
        </patternFill>
      </fill>
      <border>
        <left style="thin">
          <color rgb="FFE4DFD2"/>
        </left>
        <right style="thin">
          <color rgb="FFE4DFD2"/>
        </right>
        <top style="thin">
          <color rgb="FFE4DFD2"/>
        </top>
        <bottom style="thin">
          <color rgb="FFE4DFD2"/>
        </bottom>
      </border>
    </dxf>
  </dxfs>
  <tableStyles count="1" defaultTableStyle="TableStyleMedium2" defaultPivotStyle="PivotStyleLight16">
    <tableStyle name="Estilo de Segmentação de Dados 3" pivot="0" table="0" count="2" xr9:uid="{72D07C66-70EA-4708-92A4-14784A655A80}">
      <tableStyleElement type="wholeTable" dxfId="279"/>
    </tableStyle>
  </tableStyles>
  <colors>
    <mruColors>
      <color rgb="FF854B81"/>
      <color rgb="FFB5A781"/>
      <color rgb="FFC3B899"/>
      <color rgb="FFCDC5AC"/>
      <color rgb="FFD5CEB9"/>
      <color rgb="FFE4E9D2"/>
      <color rgb="FFE4DFD2"/>
      <color rgb="FF293133"/>
      <color rgb="FFFFCC00"/>
      <color rgb="FFB21E96"/>
    </mruColors>
  </colors>
  <extLst>
    <ext xmlns:x14="http://schemas.microsoft.com/office/spreadsheetml/2009/9/main" uri="{46F421CA-312F-682f-3DD2-61675219B42D}">
      <x14:dxfs count="1">
        <dxf>
          <border>
            <left style="thin">
              <color rgb="FFB5A781"/>
            </left>
            <right style="thin">
              <color rgb="FFB5A781"/>
            </right>
            <top style="thin">
              <color rgb="FFB5A781"/>
            </top>
            <bottom style="thin">
              <color rgb="FFB5A781"/>
            </bottom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Estilo de Segmentação de Dados 3">
          <x14:slicerStyleElements>
            <x14:slicerStyleElement type="selectedItemWith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pivotCacheDefinition" Target="pivotCache/pivotCacheDefinition4.xml"/><Relationship Id="rId3" Type="http://schemas.openxmlformats.org/officeDocument/2006/relationships/worksheet" Target="worksheets/sheet3.xml"/><Relationship Id="rId21" Type="http://schemas.microsoft.com/office/2007/relationships/slicerCache" Target="slicerCaches/slicerCache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3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2.xml"/><Relationship Id="rId20" Type="http://schemas.microsoft.com/office/2007/relationships/slicerCache" Target="slicerCaches/slicerCach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1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1/relationships/chartColorStyle" Target="colors1.xml"/><Relationship Id="rId1" Type="http://schemas.microsoft.com/office/2011/relationships/chartStyle" Target="style1.xml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charts/_rels/chart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9.png"/><Relationship Id="rId7" Type="http://schemas.openxmlformats.org/officeDocument/2006/relationships/image" Target="../media/image13.png"/><Relationship Id="rId2" Type="http://schemas.microsoft.com/office/2011/relationships/chartColorStyle" Target="colors2.xml"/><Relationship Id="rId1" Type="http://schemas.microsoft.com/office/2011/relationships/chartStyle" Target="style2.xml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1/relationships/chartColorStyle" Target="colors3.xml"/><Relationship Id="rId1" Type="http://schemas.microsoft.com/office/2011/relationships/chartStyle" Target="style3.xml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[Velas.xlsx]Producao-Dinamica!Tabela dinâmica1</c:name>
    <c:fmtId val="2"/>
  </c:pivotSource>
  <c:chart>
    <c:autoTitleDeleted val="1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  <c:spPr>
          <a:solidFill>
            <a:schemeClr val="accent1"/>
          </a:solidFill>
          <a:ln w="3175">
            <a:solidFill>
              <a:srgbClr val="C3B899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bg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blipFill>
            <a:blip xmlns:r="http://schemas.openxmlformats.org/officeDocument/2006/relationships" r:embed="rId3"/>
            <a:stretch>
              <a:fillRect/>
            </a:stretch>
          </a:blipFill>
          <a:ln w="3175">
            <a:solidFill>
              <a:srgbClr val="C3B899"/>
            </a:solidFill>
          </a:ln>
          <a:effectLst/>
        </c:spPr>
        <c:dLbl>
          <c:idx val="0"/>
          <c:layout>
            <c:manualLayout>
              <c:x val="0.17726386159703755"/>
              <c:y val="-0.1099655762288193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bg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blipFill>
            <a:blip xmlns:r="http://schemas.openxmlformats.org/officeDocument/2006/relationships" r:embed="rId4"/>
            <a:stretch>
              <a:fillRect/>
            </a:stretch>
          </a:blipFill>
          <a:ln w="3175">
            <a:solidFill>
              <a:srgbClr val="C3B899"/>
            </a:solidFill>
          </a:ln>
          <a:effectLst/>
        </c:spPr>
        <c:dLbl>
          <c:idx val="0"/>
          <c:layout>
            <c:manualLayout>
              <c:x val="0.11175330405030628"/>
              <c:y val="0.10309272771451811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bg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blipFill>
            <a:blip xmlns:r="http://schemas.openxmlformats.org/officeDocument/2006/relationships" r:embed="rId5"/>
            <a:stretch>
              <a:fillRect/>
            </a:stretch>
          </a:blipFill>
          <a:ln w="3175">
            <a:solidFill>
              <a:srgbClr val="C3B899"/>
            </a:solidFill>
          </a:ln>
          <a:effectLst/>
        </c:spPr>
        <c:dLbl>
          <c:idx val="0"/>
          <c:layout>
            <c:manualLayout>
              <c:x val="-0.2080923592660876"/>
              <c:y val="5.498278811440966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bg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blipFill>
            <a:blip xmlns:r="http://schemas.openxmlformats.org/officeDocument/2006/relationships" r:embed="rId6"/>
            <a:stretch>
              <a:fillRect/>
            </a:stretch>
          </a:blipFill>
          <a:ln w="3175">
            <a:solidFill>
              <a:srgbClr val="C3B899"/>
            </a:solidFill>
          </a:ln>
          <a:effectLst/>
        </c:spPr>
        <c:dLbl>
          <c:idx val="0"/>
          <c:layout>
            <c:manualLayout>
              <c:x val="-0.23506729472650631"/>
              <c:y val="-8.247418217161448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bg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strRef>
              <c:f>'Producao-Dinamica'!$C$4</c:f>
              <c:strCache>
                <c:ptCount val="1"/>
                <c:pt idx="0">
                  <c:v>Total</c:v>
                </c:pt>
              </c:strCache>
            </c:strRef>
          </c:tx>
          <c:spPr>
            <a:ln w="3175">
              <a:solidFill>
                <a:srgbClr val="C3B899"/>
              </a:solidFill>
            </a:ln>
          </c:spPr>
          <c:dPt>
            <c:idx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 w="3175">
                <a:solidFill>
                  <a:srgbClr val="C3B899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C57-4110-ABA1-7F6456239FCD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 w="3175">
                <a:solidFill>
                  <a:srgbClr val="C3B899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C57-4110-ABA1-7F6456239FCD}"/>
              </c:ext>
            </c:extLst>
          </c:dPt>
          <c:dPt>
            <c:idx val="2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 w="3175">
                <a:solidFill>
                  <a:srgbClr val="C3B899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C57-4110-ABA1-7F6456239FCD}"/>
              </c:ext>
            </c:extLst>
          </c:dPt>
          <c:dPt>
            <c:idx val="3"/>
            <c:bubble3D val="0"/>
            <c:spPr>
              <a:blipFill>
                <a:blip xmlns:r="http://schemas.openxmlformats.org/officeDocument/2006/relationships" r:embed="rId6"/>
                <a:stretch>
                  <a:fillRect/>
                </a:stretch>
              </a:blipFill>
              <a:ln w="3175">
                <a:solidFill>
                  <a:srgbClr val="C3B899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C57-4110-ABA1-7F6456239FCD}"/>
              </c:ext>
            </c:extLst>
          </c:dPt>
          <c:dLbls>
            <c:dLbl>
              <c:idx val="0"/>
              <c:layout>
                <c:manualLayout>
                  <c:x val="0.17726386159703755"/>
                  <c:y val="-0.1099655762288193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C57-4110-ABA1-7F6456239FCD}"/>
                </c:ext>
              </c:extLst>
            </c:dLbl>
            <c:dLbl>
              <c:idx val="1"/>
              <c:layout>
                <c:manualLayout>
                  <c:x val="0.11175330405030628"/>
                  <c:y val="0.1030927277145181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C57-4110-ABA1-7F6456239FCD}"/>
                </c:ext>
              </c:extLst>
            </c:dLbl>
            <c:dLbl>
              <c:idx val="2"/>
              <c:layout>
                <c:manualLayout>
                  <c:x val="-0.2080923592660876"/>
                  <c:y val="5.4982788114409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C57-4110-ABA1-7F6456239FCD}"/>
                </c:ext>
              </c:extLst>
            </c:dLbl>
            <c:dLbl>
              <c:idx val="3"/>
              <c:layout>
                <c:manualLayout>
                  <c:x val="-0.23506729472650631"/>
                  <c:y val="-8.2474182171614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C57-4110-ABA1-7F6456239F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3175" cap="flat" cmpd="sng" algn="ctr">
                  <a:solidFill>
                    <a:srgbClr val="C3B899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'Producao-Dinamica'!$B$5:$B$9</c:f>
              <c:strCache>
                <c:ptCount val="4"/>
                <c:pt idx="0">
                  <c:v>Decorativa</c:v>
                </c:pt>
                <c:pt idx="1">
                  <c:v>Pote grande</c:v>
                </c:pt>
                <c:pt idx="2">
                  <c:v>Pote médio</c:v>
                </c:pt>
                <c:pt idx="3">
                  <c:v>Pote pequeno</c:v>
                </c:pt>
              </c:strCache>
            </c:strRef>
          </c:cat>
          <c:val>
            <c:numRef>
              <c:f>'Producao-Dinamica'!$C$5:$C$9</c:f>
              <c:numCache>
                <c:formatCode>General</c:formatCode>
                <c:ptCount val="4"/>
                <c:pt idx="0">
                  <c:v>20</c:v>
                </c:pt>
                <c:pt idx="1">
                  <c:v>25</c:v>
                </c:pt>
                <c:pt idx="2">
                  <c:v>15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C57-4110-ABA1-7F6456239FC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[Velas.xlsx]Producao-Dinamica!Tabela dinâmica2</c:name>
    <c:fmtId val="9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3175">
            <a:solidFill>
              <a:srgbClr val="C3B899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bg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blipFill>
            <a:blip xmlns:r="http://schemas.openxmlformats.org/officeDocument/2006/relationships" r:embed="rId3"/>
            <a:stretch>
              <a:fillRect/>
            </a:stretch>
          </a:blipFill>
          <a:ln w="3175">
            <a:solidFill>
              <a:srgbClr val="C3B899"/>
            </a:solidFill>
          </a:ln>
          <a:effectLst/>
        </c:spPr>
      </c:pivotFmt>
      <c:pivotFmt>
        <c:idx val="10"/>
        <c:spPr>
          <a:blipFill>
            <a:blip xmlns:r="http://schemas.openxmlformats.org/officeDocument/2006/relationships" r:embed="rId4"/>
            <a:stretch>
              <a:fillRect/>
            </a:stretch>
          </a:blipFill>
          <a:ln w="3175">
            <a:solidFill>
              <a:srgbClr val="C3B899"/>
            </a:solidFill>
          </a:ln>
          <a:effectLst/>
        </c:spPr>
      </c:pivotFmt>
      <c:pivotFmt>
        <c:idx val="11"/>
        <c:spPr>
          <a:blipFill>
            <a:blip xmlns:r="http://schemas.openxmlformats.org/officeDocument/2006/relationships" r:embed="rId5"/>
            <a:stretch>
              <a:fillRect/>
            </a:stretch>
          </a:blipFill>
          <a:ln w="3175">
            <a:solidFill>
              <a:srgbClr val="C3B899"/>
            </a:solidFill>
          </a:ln>
          <a:effectLst/>
        </c:spPr>
      </c:pivotFmt>
      <c:pivotFmt>
        <c:idx val="12"/>
        <c:spPr>
          <a:blipFill>
            <a:blip xmlns:r="http://schemas.openxmlformats.org/officeDocument/2006/relationships" r:embed="rId6"/>
            <a:stretch>
              <a:fillRect/>
            </a:stretch>
          </a:blipFill>
          <a:ln w="3175">
            <a:solidFill>
              <a:srgbClr val="C3B899"/>
            </a:solidFill>
          </a:ln>
          <a:effectLst/>
        </c:spPr>
      </c:pivotFmt>
      <c:pivotFmt>
        <c:idx val="13"/>
        <c:spPr>
          <a:blipFill>
            <a:blip xmlns:r="http://schemas.openxmlformats.org/officeDocument/2006/relationships" r:embed="rId7"/>
            <a:stretch>
              <a:fillRect/>
            </a:stretch>
          </a:blipFill>
          <a:ln w="3175">
            <a:solidFill>
              <a:srgbClr val="C3B899"/>
            </a:solidFill>
          </a:ln>
          <a:effectLst/>
        </c:spPr>
      </c:pivotFmt>
      <c:pivotFmt>
        <c:idx val="14"/>
        <c:spPr>
          <a:blipFill>
            <a:blip xmlns:r="http://schemas.openxmlformats.org/officeDocument/2006/relationships" r:embed="rId8"/>
            <a:stretch>
              <a:fillRect/>
            </a:stretch>
          </a:blipFill>
          <a:ln w="3175">
            <a:solidFill>
              <a:srgbClr val="C3B899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'Producao-Dinamica'!$F$4</c:f>
              <c:strCache>
                <c:ptCount val="1"/>
                <c:pt idx="0">
                  <c:v>Total</c:v>
                </c:pt>
              </c:strCache>
            </c:strRef>
          </c:tx>
          <c:spPr>
            <a:ln w="3175">
              <a:solidFill>
                <a:srgbClr val="C3B899"/>
              </a:solidFill>
            </a:ln>
          </c:spPr>
          <c:dPt>
            <c:idx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 w="3175">
                <a:solidFill>
                  <a:srgbClr val="C3B899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B76-418A-82C0-14B49245E26A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 w="3175">
                <a:solidFill>
                  <a:srgbClr val="C3B899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B76-418A-82C0-14B49245E26A}"/>
              </c:ext>
            </c:extLst>
          </c:dPt>
          <c:dPt>
            <c:idx val="2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 w="3175">
                <a:solidFill>
                  <a:srgbClr val="C3B899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B76-418A-82C0-14B49245E26A}"/>
              </c:ext>
            </c:extLst>
          </c:dPt>
          <c:dPt>
            <c:idx val="3"/>
            <c:bubble3D val="0"/>
            <c:spPr>
              <a:blipFill>
                <a:blip xmlns:r="http://schemas.openxmlformats.org/officeDocument/2006/relationships" r:embed="rId6"/>
                <a:stretch>
                  <a:fillRect/>
                </a:stretch>
              </a:blipFill>
              <a:ln w="3175">
                <a:solidFill>
                  <a:srgbClr val="C3B899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B76-418A-82C0-14B49245E26A}"/>
              </c:ext>
            </c:extLst>
          </c:dPt>
          <c:dPt>
            <c:idx val="4"/>
            <c:bubble3D val="0"/>
            <c:spPr>
              <a:blipFill>
                <a:blip xmlns:r="http://schemas.openxmlformats.org/officeDocument/2006/relationships" r:embed="rId7"/>
                <a:stretch>
                  <a:fillRect/>
                </a:stretch>
              </a:blipFill>
              <a:ln w="3175">
                <a:solidFill>
                  <a:srgbClr val="C3B899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B76-418A-82C0-14B49245E26A}"/>
              </c:ext>
            </c:extLst>
          </c:dPt>
          <c:dPt>
            <c:idx val="5"/>
            <c:bubble3D val="0"/>
            <c:spPr>
              <a:blipFill>
                <a:blip xmlns:r="http://schemas.openxmlformats.org/officeDocument/2006/relationships" r:embed="rId8"/>
                <a:stretch>
                  <a:fillRect/>
                </a:stretch>
              </a:blipFill>
              <a:ln w="3175">
                <a:solidFill>
                  <a:srgbClr val="C3B899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B76-418A-82C0-14B49245E26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'Producao-Dinamica'!$E$5:$E$11</c:f>
              <c:strCache>
                <c:ptCount val="6"/>
                <c:pt idx="0">
                  <c:v>Essências</c:v>
                </c:pt>
                <c:pt idx="1">
                  <c:v>Etiquetas</c:v>
                </c:pt>
                <c:pt idx="2">
                  <c:v>Fogão portátil</c:v>
                </c:pt>
                <c:pt idx="3">
                  <c:v>Panelas</c:v>
                </c:pt>
                <c:pt idx="4">
                  <c:v>Parafinas</c:v>
                </c:pt>
                <c:pt idx="5">
                  <c:v>Pavios</c:v>
                </c:pt>
              </c:strCache>
            </c:strRef>
          </c:cat>
          <c:val>
            <c:numRef>
              <c:f>'Producao-Dinamica'!$F$5:$F$11</c:f>
              <c:numCache>
                <c:formatCode>General</c:formatCode>
                <c:ptCount val="6"/>
                <c:pt idx="0">
                  <c:v>50</c:v>
                </c:pt>
                <c:pt idx="1">
                  <c:v>30</c:v>
                </c:pt>
                <c:pt idx="2">
                  <c:v>1</c:v>
                </c:pt>
                <c:pt idx="3">
                  <c:v>5</c:v>
                </c:pt>
                <c:pt idx="4">
                  <c:v>50</c:v>
                </c:pt>
                <c:pt idx="5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B76-418A-82C0-14B49245E2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0738560804899386"/>
          <c:y val="0.24768044619422572"/>
          <c:w val="0.27594772528433947"/>
          <c:h val="0.504639107611548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[Velas.xlsx]Caixa-Dinamica!Tabela dinâmica6</c:name>
    <c:fmtId val="44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3175">
            <a:solidFill>
              <a:srgbClr val="C3B899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bg1"/>
                  </a:solidFill>
                  <a:latin typeface="Abadi" panose="020B0604020104020204" pitchFamily="34" charset="0"/>
                  <a:ea typeface="+mn-ea"/>
                  <a:cs typeface="Arial" panose="020B0604020202020204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blipFill>
            <a:blip xmlns:r="http://schemas.openxmlformats.org/officeDocument/2006/relationships" r:embed="rId3"/>
            <a:stretch>
              <a:fillRect/>
            </a:stretch>
          </a:blipFill>
          <a:ln w="3175">
            <a:solidFill>
              <a:srgbClr val="C3B899"/>
            </a:solidFill>
          </a:ln>
          <a:effectLst/>
        </c:spPr>
      </c:pivotFmt>
      <c:pivotFmt>
        <c:idx val="8"/>
        <c:spPr>
          <a:blipFill>
            <a:blip xmlns:r="http://schemas.openxmlformats.org/officeDocument/2006/relationships" r:embed="rId4"/>
            <a:stretch>
              <a:fillRect/>
            </a:stretch>
          </a:blipFill>
          <a:ln w="3175">
            <a:solidFill>
              <a:srgbClr val="C3B899"/>
            </a:solidFill>
          </a:ln>
          <a:effectLst/>
        </c:spPr>
      </c:pivotFmt>
      <c:pivotFmt>
        <c:idx val="9"/>
        <c:spPr>
          <a:blipFill>
            <a:blip xmlns:r="http://schemas.openxmlformats.org/officeDocument/2006/relationships" r:embed="rId5"/>
            <a:stretch>
              <a:fillRect/>
            </a:stretch>
          </a:blipFill>
          <a:ln w="3175">
            <a:solidFill>
              <a:srgbClr val="C3B899"/>
            </a:solidFill>
          </a:ln>
          <a:effectLst/>
        </c:spPr>
      </c:pivotFmt>
      <c:pivotFmt>
        <c:idx val="10"/>
        <c:spPr>
          <a:blipFill>
            <a:blip xmlns:r="http://schemas.openxmlformats.org/officeDocument/2006/relationships" r:embed="rId6"/>
            <a:stretch>
              <a:fillRect/>
            </a:stretch>
          </a:blipFill>
          <a:ln w="3175">
            <a:solidFill>
              <a:srgbClr val="C3B899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'Caixa-Dinamica'!$C$11</c:f>
              <c:strCache>
                <c:ptCount val="1"/>
                <c:pt idx="0">
                  <c:v>Total</c:v>
                </c:pt>
              </c:strCache>
            </c:strRef>
          </c:tx>
          <c:spPr>
            <a:ln w="3175">
              <a:solidFill>
                <a:srgbClr val="C3B899"/>
              </a:solidFill>
            </a:ln>
          </c:spPr>
          <c:dPt>
            <c:idx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 w="3175">
                <a:solidFill>
                  <a:srgbClr val="C3B899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14A-4E44-9478-2E5A1861A2FB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 w="3175">
                <a:solidFill>
                  <a:srgbClr val="C3B899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14A-4E44-9478-2E5A1861A2FB}"/>
              </c:ext>
            </c:extLst>
          </c:dPt>
          <c:dPt>
            <c:idx val="2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 w="3175">
                <a:solidFill>
                  <a:srgbClr val="C3B899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14A-4E44-9478-2E5A1861A2FB}"/>
              </c:ext>
            </c:extLst>
          </c:dPt>
          <c:dPt>
            <c:idx val="3"/>
            <c:bubble3D val="0"/>
            <c:spPr>
              <a:blipFill>
                <a:blip xmlns:r="http://schemas.openxmlformats.org/officeDocument/2006/relationships" r:embed="rId6"/>
                <a:stretch>
                  <a:fillRect/>
                </a:stretch>
              </a:blipFill>
              <a:ln w="3175">
                <a:solidFill>
                  <a:srgbClr val="C3B899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14A-4E44-9478-2E5A1861A2F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badi" panose="020B0604020104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'Caixa-Dinamica'!$B$12:$B$16</c:f>
              <c:strCache>
                <c:ptCount val="4"/>
                <c:pt idx="0">
                  <c:v>Decorativa</c:v>
                </c:pt>
                <c:pt idx="1">
                  <c:v>Pote grande</c:v>
                </c:pt>
                <c:pt idx="2">
                  <c:v>Pote médio</c:v>
                </c:pt>
                <c:pt idx="3">
                  <c:v>Pote pequeno</c:v>
                </c:pt>
              </c:strCache>
            </c:strRef>
          </c:cat>
          <c:val>
            <c:numRef>
              <c:f>'Caixa-Dinamica'!$C$12:$C$16</c:f>
              <c:numCache>
                <c:formatCode>_("R$"* #,##0.00_);_("R$"* \(#,##0.00\);_("R$"* "-"??_);_(@_)</c:formatCode>
                <c:ptCount val="4"/>
                <c:pt idx="0">
                  <c:v>67.5</c:v>
                </c:pt>
                <c:pt idx="1">
                  <c:v>6</c:v>
                </c:pt>
                <c:pt idx="2">
                  <c:v>32</c:v>
                </c:pt>
                <c:pt idx="3">
                  <c:v>24.4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14A-4E44-9478-2E5A1861A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726262158406666"/>
          <c:y val="0.43493273819723199"/>
          <c:w val="0.22713513751957476"/>
          <c:h val="0.562687326016792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[Velas.xlsx]Caixa-Dinamica!Tabela dinâmica1</c:name>
    <c:fmtId val="7"/>
  </c:pivotSource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>
            <a:outerShdw blurRad="50800" dist="38100" dir="2700000" sx="120000" sy="120000" algn="tl" rotWithShape="0">
              <a:srgbClr val="CDC5AC">
                <a:alpha val="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bg1"/>
                  </a:solidFill>
                  <a:latin typeface="Abadi" panose="020B0604020104020204" pitchFamily="34" charset="0"/>
                  <a:ea typeface="+mn-ea"/>
                  <a:cs typeface="Arial" panose="020B0604020202020204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>
            <a:outerShdw blurRad="50800" dist="38100" dir="2700000" sx="120000" sy="120000" algn="tl" rotWithShape="0">
              <a:srgbClr val="CDC5AC">
                <a:alpha val="0"/>
              </a:srgbClr>
            </a:outerShdw>
          </a:effectLst>
        </c:spPr>
        <c:dLbl>
          <c:idx val="0"/>
          <c:layout>
            <c:manualLayout>
              <c:x val="-5.3718966063094255E-3"/>
              <c:y val="0.20833406240886565"/>
            </c:manualLayout>
          </c:layout>
          <c:numFmt formatCode="0.0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bg1"/>
                  </a:solidFill>
                  <a:latin typeface="Abadi" panose="020B0604020104020204" pitchFamily="34" charset="0"/>
                  <a:ea typeface="+mn-ea"/>
                  <a:cs typeface="Arial" panose="020B0604020202020204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>
              <a:lumMod val="50000"/>
            </a:schemeClr>
          </a:solidFill>
          <a:ln>
            <a:noFill/>
          </a:ln>
          <a:effectLst>
            <a:outerShdw blurRad="50800" dist="38100" dir="2700000" sx="120000" sy="120000" algn="tl" rotWithShape="0">
              <a:srgbClr val="CDC5AC">
                <a:alpha val="0"/>
              </a:srgbClr>
            </a:outerShdw>
          </a:effectLst>
        </c:spPr>
      </c:pivotFmt>
      <c:pivotFmt>
        <c:idx val="5"/>
        <c:spPr>
          <a:solidFill>
            <a:srgbClr val="C00000"/>
          </a:solidFill>
          <a:ln>
            <a:noFill/>
          </a:ln>
          <a:effectLst>
            <a:outerShdw blurRad="50800" dist="38100" dir="2700000" sx="120000" sy="120000" algn="tl" rotWithShape="0">
              <a:srgbClr val="CDC5AC">
                <a:alpha val="0"/>
              </a:srgbClr>
            </a:outerShdw>
          </a:effectLst>
        </c:spPr>
      </c:pivotFmt>
      <c:pivotFmt>
        <c:idx val="6"/>
        <c:spPr>
          <a:solidFill>
            <a:schemeClr val="accent6">
              <a:lumMod val="50000"/>
            </a:schemeClr>
          </a:solidFill>
          <a:ln>
            <a:noFill/>
          </a:ln>
          <a:effectLst>
            <a:outerShdw blurRad="50800" dist="38100" dir="2700000" sx="120000" sy="120000" algn="tl" rotWithShape="0">
              <a:srgbClr val="CDC5AC">
                <a:alpha val="0"/>
              </a:srgbClr>
            </a:outerShdw>
          </a:effectLst>
        </c:spPr>
      </c:pivotFmt>
      <c:pivotFmt>
        <c:idx val="7"/>
        <c:spPr>
          <a:solidFill>
            <a:schemeClr val="accent6">
              <a:lumMod val="50000"/>
            </a:schemeClr>
          </a:solidFill>
          <a:ln>
            <a:noFill/>
          </a:ln>
          <a:effectLst>
            <a:outerShdw blurRad="50800" dist="38100" dir="2700000" sx="120000" sy="120000" algn="tl" rotWithShape="0">
              <a:srgbClr val="CDC5AC">
                <a:alpha val="0"/>
              </a:srgbClr>
            </a:outerShdw>
          </a:effectLst>
        </c:spPr>
      </c:pivotFmt>
      <c:pivotFmt>
        <c:idx val="8"/>
        <c:spPr>
          <a:solidFill>
            <a:schemeClr val="accent6">
              <a:lumMod val="60000"/>
              <a:lumOff val="40000"/>
            </a:schemeClr>
          </a:solidFill>
          <a:ln>
            <a:noFill/>
          </a:ln>
          <a:effectLst>
            <a:outerShdw blurRad="50800" dist="38100" dir="2700000" sx="120000" sy="120000" algn="tl" rotWithShape="0">
              <a:srgbClr val="CDC5AC">
                <a:alpha val="0"/>
              </a:srgbClr>
            </a:outerShdw>
          </a:effectLst>
        </c:spP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'Caixa-Dinamica'!$L$4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0800" dist="38100" dir="2700000" sx="120000" sy="120000" algn="tl" rotWithShape="0">
                <a:srgbClr val="CDC5AC">
                  <a:alpha val="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  <a:effectLst>
                <a:outerShdw blurRad="50800" dist="38100" dir="2700000" sx="120000" sy="120000" algn="tl" rotWithShape="0">
                  <a:srgbClr val="CDC5AC">
                    <a:alpha val="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33A-45F1-AF76-7F0DB2B46784}"/>
              </c:ext>
            </c:extLst>
          </c:dPt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>
                <a:outerShdw blurRad="50800" dist="38100" dir="2700000" sx="120000" sy="120000" algn="tl" rotWithShape="0">
                  <a:srgbClr val="CDC5AC">
                    <a:alpha val="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A33A-45F1-AF76-7F0DB2B4678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  <a:effectLst>
                <a:outerShdw blurRad="50800" dist="38100" dir="2700000" sx="120000" sy="120000" algn="tl" rotWithShape="0">
                  <a:srgbClr val="CDC5AC">
                    <a:alpha val="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33A-45F1-AF76-7F0DB2B4678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0800" dist="38100" dir="2700000" sx="120000" sy="120000" algn="tl" rotWithShape="0">
                  <a:srgbClr val="CDC5AC">
                    <a:alpha val="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33A-45F1-AF76-7F0DB2B4678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2700000" sx="120000" sy="120000" algn="tl" rotWithShape="0">
                  <a:srgbClr val="CDC5AC">
                    <a:alpha val="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A33A-45F1-AF76-7F0DB2B4678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33A-45F1-AF76-7F0DB2B46784}"/>
              </c:ext>
            </c:extLst>
          </c:dPt>
          <c:dLbls>
            <c:dLbl>
              <c:idx val="3"/>
              <c:layout>
                <c:manualLayout>
                  <c:x val="-5.3718966063094255E-3"/>
                  <c:y val="0.20833406240886565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Abadi" panose="020B0604020104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3A-45F1-AF76-7F0DB2B467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badi" panose="020B0604020104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'Caixa-Dinamica'!$K$5:$K$12</c:f>
              <c:strCache>
                <c:ptCount val="7"/>
                <c:pt idx="0">
                  <c:v>Capital Inicial</c:v>
                </c:pt>
                <c:pt idx="1">
                  <c:v>Despesas</c:v>
                </c:pt>
                <c:pt idx="2">
                  <c:v>Lucro Bruto</c:v>
                </c:pt>
                <c:pt idx="3">
                  <c:v>Margem</c:v>
                </c:pt>
                <c:pt idx="4">
                  <c:v>Vendas</c:v>
                </c:pt>
                <c:pt idx="5">
                  <c:v>Impostos</c:v>
                </c:pt>
                <c:pt idx="6">
                  <c:v>Lucro Líquido</c:v>
                </c:pt>
              </c:strCache>
            </c:strRef>
          </c:cat>
          <c:val>
            <c:numRef>
              <c:f>'Caixa-Dinamica'!$L$5:$L$12</c:f>
              <c:numCache>
                <c:formatCode>"R$"\ #,##0.00</c:formatCode>
                <c:ptCount val="7"/>
                <c:pt idx="0">
                  <c:v>2000</c:v>
                </c:pt>
                <c:pt idx="1">
                  <c:v>845</c:v>
                </c:pt>
                <c:pt idx="2">
                  <c:v>347.90000000000009</c:v>
                </c:pt>
                <c:pt idx="3">
                  <c:v>0.29164221644731331</c:v>
                </c:pt>
                <c:pt idx="4">
                  <c:v>123.9</c:v>
                </c:pt>
                <c:pt idx="5">
                  <c:v>86</c:v>
                </c:pt>
                <c:pt idx="6">
                  <c:v>1192.9000000000001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3A-45F1-AF76-7F0DB2B4678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90493951"/>
        <c:axId val="2009737151"/>
      </c:barChart>
      <c:catAx>
        <c:axId val="1904939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rgbClr val="C3B89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bg1"/>
                </a:solidFill>
                <a:latin typeface="Abadi" panose="020B0604020104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2009737151"/>
        <c:crosses val="autoZero"/>
        <c:auto val="1"/>
        <c:lblAlgn val="ctr"/>
        <c:lblOffset val="100"/>
        <c:noMultiLvlLbl val="0"/>
      </c:catAx>
      <c:valAx>
        <c:axId val="2009737151"/>
        <c:scaling>
          <c:orientation val="minMax"/>
        </c:scaling>
        <c:delete val="1"/>
        <c:axPos val="l"/>
        <c:numFmt formatCode="&quot;R$&quot;\ #,##0.00" sourceLinked="1"/>
        <c:majorTickMark val="none"/>
        <c:minorTickMark val="none"/>
        <c:tickLblPos val="nextTo"/>
        <c:crossAx val="1904939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.xml"/><Relationship Id="rId13" Type="http://schemas.openxmlformats.org/officeDocument/2006/relationships/image" Target="../media/image19.png"/><Relationship Id="rId3" Type="http://schemas.openxmlformats.org/officeDocument/2006/relationships/image" Target="../media/image6.png"/><Relationship Id="rId7" Type="http://schemas.openxmlformats.org/officeDocument/2006/relationships/chart" Target="../charts/chart3.xml"/><Relationship Id="rId12" Type="http://schemas.openxmlformats.org/officeDocument/2006/relationships/image" Target="../media/image18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2.xml"/><Relationship Id="rId11" Type="http://schemas.openxmlformats.org/officeDocument/2006/relationships/image" Target="../media/image17.png"/><Relationship Id="rId5" Type="http://schemas.openxmlformats.org/officeDocument/2006/relationships/image" Target="../media/image8.png"/><Relationship Id="rId10" Type="http://schemas.openxmlformats.org/officeDocument/2006/relationships/image" Target="../media/image16.png"/><Relationship Id="rId4" Type="http://schemas.openxmlformats.org/officeDocument/2006/relationships/image" Target="../media/image7.svg"/><Relationship Id="rId9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32</xdr:col>
      <xdr:colOff>338666</xdr:colOff>
      <xdr:row>71</xdr:row>
      <xdr:rowOff>63500</xdr:rowOff>
    </xdr:to>
    <xdr:sp macro="" textlink="">
      <xdr:nvSpPr>
        <xdr:cNvPr id="65" name="Retângulo 64">
          <a:extLst>
            <a:ext uri="{FF2B5EF4-FFF2-40B4-BE49-F238E27FC236}">
              <a16:creationId xmlns:a16="http://schemas.microsoft.com/office/drawing/2014/main" id="{F4E70BBC-7A39-4091-A204-F19C731C919A}"/>
            </a:ext>
          </a:extLst>
        </xdr:cNvPr>
        <xdr:cNvSpPr/>
      </xdr:nvSpPr>
      <xdr:spPr>
        <a:xfrm>
          <a:off x="0" y="0"/>
          <a:ext cx="19981333" cy="13589000"/>
        </a:xfrm>
        <a:prstGeom prst="rect">
          <a:avLst/>
        </a:prstGeom>
        <a:gradFill flip="none" rotWithShape="1">
          <a:gsLst>
            <a:gs pos="100000">
              <a:srgbClr val="D5CEB9"/>
            </a:gs>
            <a:gs pos="0">
              <a:srgbClr val="B5A78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endParaRPr lang="pt-B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581026</xdr:colOff>
      <xdr:row>1</xdr:row>
      <xdr:rowOff>85726</xdr:rowOff>
    </xdr:from>
    <xdr:to>
      <xdr:col>16</xdr:col>
      <xdr:colOff>582084</xdr:colOff>
      <xdr:row>5</xdr:row>
      <xdr:rowOff>152400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52AB4AA5-4AB4-4318-8C18-6A3DBE70EA5E}"/>
            </a:ext>
          </a:extLst>
        </xdr:cNvPr>
        <xdr:cNvSpPr/>
      </xdr:nvSpPr>
      <xdr:spPr>
        <a:xfrm>
          <a:off x="6105526" y="276226"/>
          <a:ext cx="4297891" cy="828674"/>
        </a:xfrm>
        <a:prstGeom prst="roundRect">
          <a:avLst/>
        </a:prstGeom>
        <a:gradFill flip="none" rotWithShape="1">
          <a:gsLst>
            <a:gs pos="100000">
              <a:srgbClr val="C00000"/>
            </a:gs>
            <a:gs pos="0">
              <a:srgbClr val="B5A781"/>
            </a:gs>
          </a:gsLst>
          <a:lin ang="162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pt-B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533401</xdr:colOff>
      <xdr:row>1</xdr:row>
      <xdr:rowOff>85726</xdr:rowOff>
    </xdr:from>
    <xdr:to>
      <xdr:col>9</xdr:col>
      <xdr:colOff>66675</xdr:colOff>
      <xdr:row>5</xdr:row>
      <xdr:rowOff>152400</xdr:rowOff>
    </xdr:to>
    <xdr:sp macro="" textlink="">
      <xdr:nvSpPr>
        <xdr:cNvPr id="3" name="Retângulo: Cantos Arredondados 2">
          <a:extLst>
            <a:ext uri="{FF2B5EF4-FFF2-40B4-BE49-F238E27FC236}">
              <a16:creationId xmlns:a16="http://schemas.microsoft.com/office/drawing/2014/main" id="{4DBCA2FE-EC03-4040-9958-098CA4B44C35}"/>
            </a:ext>
          </a:extLst>
        </xdr:cNvPr>
        <xdr:cNvSpPr/>
      </xdr:nvSpPr>
      <xdr:spPr>
        <a:xfrm>
          <a:off x="1752601" y="276226"/>
          <a:ext cx="3800474" cy="828674"/>
        </a:xfrm>
        <a:prstGeom prst="roundRect">
          <a:avLst/>
        </a:prstGeom>
        <a:gradFill flip="none" rotWithShape="1">
          <a:gsLst>
            <a:gs pos="100000">
              <a:schemeClr val="accent6">
                <a:lumMod val="50000"/>
              </a:schemeClr>
            </a:gs>
            <a:gs pos="0">
              <a:srgbClr val="B5A781"/>
            </a:gs>
          </a:gsLst>
          <a:lin ang="162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pt-B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19</xdr:col>
      <xdr:colOff>314326</xdr:colOff>
      <xdr:row>5</xdr:row>
      <xdr:rowOff>142876</xdr:rowOff>
    </xdr:from>
    <xdr:to>
      <xdr:col>25</xdr:col>
      <xdr:colOff>457200</xdr:colOff>
      <xdr:row>22</xdr:row>
      <xdr:rowOff>161926</xdr:rowOff>
    </xdr:to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27EFC9C9-5C4A-48C9-BDE3-0EF7821F7937}"/>
            </a:ext>
          </a:extLst>
        </xdr:cNvPr>
        <xdr:cNvSpPr/>
      </xdr:nvSpPr>
      <xdr:spPr>
        <a:xfrm>
          <a:off x="11896726" y="1095376"/>
          <a:ext cx="3800474" cy="3257550"/>
        </a:xfrm>
        <a:prstGeom prst="roundRect">
          <a:avLst/>
        </a:prstGeom>
        <a:gradFill flip="none" rotWithShape="1">
          <a:gsLst>
            <a:gs pos="100000">
              <a:srgbClr val="D5CEB9"/>
            </a:gs>
            <a:gs pos="0">
              <a:srgbClr val="B5A78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endParaRPr lang="pt-B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17</xdr:col>
      <xdr:colOff>0</xdr:colOff>
      <xdr:row>11</xdr:row>
      <xdr:rowOff>0</xdr:rowOff>
    </xdr:from>
    <xdr:to>
      <xdr:col>17</xdr:col>
      <xdr:colOff>304800</xdr:colOff>
      <xdr:row>12</xdr:row>
      <xdr:rowOff>114300</xdr:rowOff>
    </xdr:to>
    <xdr:sp macro="" textlink="">
      <xdr:nvSpPr>
        <xdr:cNvPr id="1029" name="AutoShape 5" descr="data:image/png;base64,iVBORw0KGgoAAAANSUhEUgAAAR0AAAEdCAYAAAAxarN7AAAQAElEQVR4Aez9B8B121XXC//HnGvtvZ/ytlNyUgghQEIgFLk0kSKggkgABSkiRenmA5UPrGhQyvWCogLqRbz6WaihCAoISJUSFAM3hJBAyjk5vb71KbusNef3+8/9PO/p57ynJDllr3eNPeeadcwxx/jPMefa+3mTNtezRgK11oA6aAJt1/Pnz+zfeNfz5zfd+ZKDt9324Xt/eMufOnjDzZ918Ls3fdXh79z89fPfuekfL/7fm//j6rU3/ObwW9ffPf7WW+flN99Sh1/9gzr+yptqger/+INqamm//uZaXvOWWn7D9OY6/sab6/CaN9eRtJF6y//5lrr4zbcMy//11oPV79xwdnjdjdfPX3fjjx68/qbv2H/DTf9g//dv/CsX33Lrn734tls/Zu+mOz7w8PbzL6537F1Xz5073fit1XxvdPZprrGbCXyaT+DDsV9f/epc31yn9c33nDy84fYXH/7BnR9z+Ac3/9XDN978z/d/9+3/z6XXve2H9t58+8/HzXf/6vj2u3+j3nz2F/NtF34637336v7cwXf1lw6+ud9bfF3eW3zBuFh+RCnj1VUxjT4rb02UdqaK3ZlEKMJ8You0mYLn2F3nJdIv085M/daWJluz3E8nW13OZyLiPXLoM7LqX03D+A1pVf7V7NLyP29dWP5sf9fBL5Wb7/4fgM8vH9504acP33DTf1r9wW3fUd5y598fbrr7M/Zuuv0D6q0Xr6nXXz+rr65Zm+tpI4H0tOF0w+hDSgAPIEF9veuuE/WmCy/Zf+udf+bC7938TRfe44N/av/ON//v/Tvu/v3hpvOvHW+/52fz3Ytvz2cXr5xcWn3+1l59xdaq+z+6Md5zGt0109zv9F3fTaZTdTNAYzaRZr3SVq/JdCKylLqsMSeNHTTJGqbQrNMArRyfJq1IH6frNKePtDGSXwhFniad3K5oP23R1/ZMk+0tTU/sagb1xLvtra3Jid2rtk+ferfd0ydfNtva/sjpZPLnailfsVwuX1XPHfxAf/f81w5uu/v1++fraw5e9vYfOXzTrV9/8Oab/2i94a7n1Te/eYpMNrr9kBrzrk/cTMy7fg6umINqz+W2c+9R33rnRw+/e9NfPPjfb/nH+7/55p+49Gtv/NWDN5593eH1t/9Wf/O5H5/dc/j3tg/1SdMhvf9kSC+YjvnMtHZbk5ozFH3tolNWgvJkonREMe1V+tBgmhBOIeLqs6LrJEAn9Z0S5VxWxJ1XAaHj9Ow8gCVNeoWJMi4bgE4FwBoRLwYiwKmYGhhlyfGdiSqeUt3upa1elXJ1q1NsT6M7sR2Tk9sp725PJid3T26fPvncnd3dP7I12/qznfRNeaVfmB/Mf3u+mv3awetv+LH919/wL+dvvOWrV2+5+xOq5VbrFmAUVyzwTcF3iATSO6TVTaNPWAIYR65nz56qb77t5fu/c/2n7//WW//BwT1v/omDt93x84tb7v6vq7sv/rt0afm1s6VesTt2H7Fd0ou3hnSqH3M/GZN6ACWlpARY5J6nfqKSQzUn1S5LpDfKxCNJUEpZKUMp1EUoE5IkES/UJUGmSEmJtJwSj3lNkUlL96NM5ez2ItEEZBBqoNQrwVMANmFAMzARGtREvj0lg5I9pLo9VWzPFHhF9oxii/iZHdXTWxpPTFVO8nxqW92p3ehP7W5PT+4+d3Zi90O3T5789K3tnVfS/7cvVoc/tn/u0s9efMONP773xhv/2aU3vP2zF39w68vqG+7cRc5Jm+udKoGNwN+p4n7ozqz49fo6qzfsP+/gDTd9+Pz1N/3Vvde+9ZfvecOt19990+2vT3vzH+8Ol98wnQ+fNF2M79UNOj2JbjJNXWSMPzDqGlLJSQWvo/aASwoVuiuq63/hUBr9RFmOlFUSua1uyPUp3u5Em+zZFCMtQJU2E0AVtB8JlSFfivU/itCMNIzSEloMqosVtGw0Hi602j/Uau9Aq/0DDdBxfLXn9HtpoNyc/OXBoRbETY4Ph3MN87nqaoCnUeMwaDUOGmtRCY+bDwPY1kSxsyXtQidmilPb6s7s9lunT57a2t196YndnU/c3dr5a9Pc/9C4WL3+sBy+7vCNt/zA8Kbb/vz8zXe8V9ui1pq1ud6hEkCD3qHtbxp/BAnU2+tOveHcBy9/95a/dXDnW//zpbff+Np8596v9Hft/7Pti6uPPrWIMyfHPiZDKA/CukI54yVEFhiihhSgBbequBLA0mgdByvUY48ZSlAm0kGXcQPYWOWq0oUqhSugIvLlEE8kdT3RTpylrA19tdKwWGo4mGtlAkiWe/syLQCLFcDQaLHQElotl1pRp4yjSgGdloPSWNXTbx9ZEyV1MN8DfD3PHc9boMj2GDqmGePuV1XdsijmK+lgqXxxrn5vqW5/qXRprvHigRYX9jS/cEnLS3taHR5qpD+aUmXgaUpPJ7YVp09IJ7bUn9nV7NrT3dapk++5Ndv6LETzA2W1fM2lOw5+8cIbbvjmc2++6ePOXX+935iRpc31JEvgGQU6T7JsnvTmKqtofdsd1x2+6Za/vPdbb/kPe3/4pt8+uP6OX9Tdl75xujf+6Z2xe143plkqAheyuug0wfATRhoRjZ9SK2GQkgkTJEWpPEMYWiY/1ZFnvAAVjE4qUQGlIv/DrtWApQs6CU2PjD1j/FiqKsBQ8FTG+QLjnWuOAa/wVob5UmW50mAQoTU6kACq5PMbtkQd26DMAXTensnUsQ3KUI/n0eF59KbtLXmLJA6RNenlMNk7mRGnDW+t/ParkDaSNm5PVE/MNHC+M+xOtOKsx1QBjqC9dEQdfbifyc62Mm23oQB64+GBBvgfFoTLQ4CQUIMqh96irXpmS/WanYjnnu4m156+dnZq90NPnDj5dSdi+hM7B/1vLX7nhh+/8No3f82F37/pJczdFAptricsgfSEW9g08IgSQFH7+U13vvf5P7jxc+a/ff2/Orj13Gvq7Rf/zeygfOHu2L10e4jTE3VdYlkOW0vC6zBh2H4ESogFWJGUAIgoUgWA2lskyhlexgBUbA5ZUqoyIBRCb7NKJwl3Z3QIefNQk+EH76MOAMkC7+VQq8WhhmEB7lQNNDFGEmypm8w0mUw0mU41nc4029pSz/lKB/VbM/GmSXkHoIEESGhr0oCFg1/FVq8APAQwVRN51c8GmFmnChWeC1ujcZJUIAG3qeuUe1Ov6LK66RSatX4NKuN2p2Gr09iop51e4Ta7pJQ79ZOJJo3PmTrSI5IYmDLgLEB1eWkf72hfBSAdhkH2hjJj6fGE4uR2FydnJ3Vm573jOSc/beuqU98+KfU1e6+/4QcvvemmLzrvbVitPVLd3I9TAszG46y5qfawEgBoUr3+3OnDN93+CQevu+G7hlsu/Hy6+/D7Y2/55ZNBL54q5WwD4ExC2SAyqmYDxyhPSOjoH+AS9GICB2QSaSYHiQ9TJBrJGDFhgbA6JbwObyuizyo5VGh4hYGthpUWnJEs8WQKZyTse5RTosoEo8ZIAYYJXsuEMAMIGWAI4gYRASKmijcxkLcib8Vr8nHaaYDC5TBye0AR8FSgpRSHQOOllXTXRen28xpuuVvzG+/QwfW36eCG23RI3M/7N96uPT+//TYtbr5Lq1ugm+7SeOvdKrfeo3LbOcVdl5QvzJXYWsUCeY20r1AAUgEQVoBvZc8IACseO2An+JJBkTAR9id3VBhLKVS2R8QWcXXpospiLqkoUa7zd4x4k5ZPzGJyZvfqrZM7f3aWu3/TzQ/++/6bbvwnB2+76cPvXB9EB5U292OQAKr4GEpvij6iBACb6erWcx97+MZbv/PwnnNvGO8697P5/PzLZ4vyohOrlKa4GR0ok6r19Iiqm3RcwtmBcGWCRMiHvaOK7Mm0LRI2XDsAhLCkqhGPRRhXAgASQJAMNGxbSqIMK3rh3MUHuZUV3dumHEkJgOkoM9mayVuSvLsjH75WjLBuTfAeeq3wIJY7vQa2NAPbkBHjq5B2tyS2MoltTD+jPsDS4RYlzlnSPRe1BEwOAIyDt9+h+c136PDm2zS/5U4t7jir5dkLeFMLGfg84q7vNaONyWSqyWSinnOXKR7NNh6Kwx5vJynkrWPlMNuHx0sOmOcXL2lFe6sb79T8bbdqcf2tGokvAKvFDber3Hy3JndeUnewUhqKMjzmyVTdbEsOU9c1GeSELADI5uEgizTp5a3rwDnUkvOpAih3TEXKWYntXD61o+70drd19akX577/6mE+/GpfL/7PxZtv/dp626VrmfvkcT0ibTKbBDaCamJ4/B8oW663n33/xe/d8g8Xr73+55c33PnT6Z69V04Ox+fv1L6bqosMmthwaintUFacu6ge9ZniKLIOKKqBWRnxTkbySgsFwABKPNeMsbCq52mnjNFER2EaG4elVstDLSHH3UeKhNOR1fcTthszJQMTXkyc4CwDMFnMsubbSeOJqQwsq0lSADwdHkPPVmrST1v9DpCs86WWHNQu7jqng5vsnQAoN9+p1e1nNdx9QeXSgXqMfCt12qK/GYa+vb0jPARtndrV9PSu8sltdae2eau0o+SDXfjoSe/uQ0EZ55kyHokpAXQZ6k/syNSdpL2rT2kbmuxuS3g0GU8vm0/Adgkvh/C5f9s92r/1Lvi9A7pdi3suaNxbIMxQzlPljq0gsvTWz6CTJz2yWlMClAoH4HPOhA7nh/LbsjBgIfPZmVOxe/r05OTuyfdLEf9o/9zZXz/3ppu+c/8td31I/aXaaXM9ogTSI+ZuMh9SArWyGbp48erFW+/4jP3fu/H7Lt14z8/ExfnX53n56NmQdiY1RcZzZ+kUeKDKNgjrVUQ0cqOVrVVpVDUKilaUbVAAMDzjydQcSjYoFL0zGAAa2V4N6WHgYrs0rpZaQZXDYxvKxF4DxpMoJ4BFGLZOzBS7M5WdqQrtiFAGH6jj4NdG2/U9HsdUCb4Dz6Wevajh9nu0wFM5wJOY33yPRrY2ugC4sFMCjjTDaCc+88E7MSgk2vVBcNCfALICjScBtFP0TSjzwvbGvLhM8NziToNkgs9K/UbwH8TTyS2ZMmEHKOn0tkbaHMgrp7Z4K4W3Rrq9EZPLzE7samd7l2HOGF6nToDrwULz8xe1d/td2rvtTh3ceY9W5y+pku6DLKQt3C/FbCpNeiU8rxmeYAfY1HFU9XZ0RYg3FDmpgeHJnW5ycuclW5PJXynD/Mf3XnDLv5hff8cntTeTtTKr2lwPkMAGdB4gkId7rChQvfXW7YOb7/nIg7fd8U2Hbz/7a8NdF350cmnxOSdK9wIwIufcKVLWiBfDW18NqNyYvbBWdLoALUetBxkpyV6LPRtZgX1gyqrbYfzdBCOBeoAjG2gAnSC/RtUKj6YMK9WRA1CAJrpQ18pNFRO2CICU3wKV7Yn8pqfYMAGDQhkf6gbtppyVoUnQz7wq8Qq6cN5yeNMd2rvxNl266XbN8RTq3lyTlbQdE23js21NtjSddGsgOAAAEABJREFU7ajHKAMqgFYFtAq0Yns20mcBNMbtXvacKs/jtJN/LuEwPA5I8CDGag+jcohcKeO0IByngAMeWJlmrQ+aOzm/UK6QX+nHz0E7CdmYPC7NOjUi36AaRwAWvDHz27SeLdQU2tre1jYe2Gwy0VRJ6XDVtn7ze87x2v2i5ufOaVguxLqh2kULe7y2yc6OLNexTzIvSxUtBn9W5D/VbHc37Zw48W5d6r5iWA0/denSrT94cOPdn1LvqSetO0czvwmQQII296NIoL65Tpd3nv/0w339tO668HPd3Xt/e7ZXXrbNq6G+YBxsKzBdjaVqbICSVdjapMiXPZuIIE3yeUvtEDvgEBheABQCUAIQcDwBDnkyUQJ8qKzCCrvkgNNgM5ZRrQ7GJxvmdqcRYyucv1S8goJnEYCMiFfaCYy7eUu0n6YzZXXKA4PFW1mw9WhnIBzmjhzalrOXNF0UeXu0jecy5dwmDCoY8bGxCzApW/QJmKzoc7Uz0XKnk98kuf3UT5Thu3MIAGfGNOF5yvOE55SRB2NOUDD+1PHcdesxOU5+gudEXgAyOqIAgBLjNDmeW5lOLpccZ6x52ivBV4JfU+MTHivnUgJ0RZ6BKLF1TIBVBwDlI5rt7mjC+VJKoahVS95u7QNCB3hF7XxnsWS3WhTUS5ztJDy0TDsT5q6r1MH7WYxL5laasQXcOXEib09nryjL5avP3/n2n1jceO4VAE+P5Dc3EkD7+dzcD5IASjLhgPDlixvu/Kb58ubX6rYL39+fX/zx2TLvTkoHhCC6lFT7JP8AMhlkFMooYRfCvCtPpb3BbmmkiwyvnlSXyV5QsLJntjwJY5HBCKWn7/WX8YaVVkdAkzDeQMkTVDEgA4xQ/grArDC6FYY5wMtAGwUDzimrL0md3a0LnElw/rLkLGbOweuCA990bl95MWAoWQIUApL76CZS16sCmDLlTga2EaMeG1j0JGeG0qkHxhrVpJSzKmXJlAiDuhGhiBAfUkrrUI9wuSzZFtV9qQAGlbxjUg7BgMR4Lf/Cs72fAliNAHIjQKoASCNk0Dz29ISsGjEeDp/YcvYqgKkBq8N7mwD4W5xl7SCHrZqVV0XzgwPNOc+aA0LjhX0Fi0xmvEF5If8K+HbMX+lDqxhYeKo8Vzu7u1sndk/+cZXhBw/edscv7d1411+45557TjLEZ/WdntWjf4jB1zvr7vyms598+JY7/u3h2Yu/MF5cfP10GS+fjHmri67ZD165hN4LQ2D9a3E/pko0Kgare8kSPgIbAQZ1QkkAwiDTobAJwIkJ4EXlsa40jCuOgorElisw8h7F9lbClGwwGFXblpBXAYeEkeSU1UfWLE3V115xgOKf3dd4yz0yyBzwJmk4d1HBVmIC81Pq9VCm7mjjo49KaCP1NicBPhnq+okyxpfxRjJGZooIWgBkdBSWwDsIPAGTVEjH4SOUBuJjDcYTLZ9HtQtgJUGNnODn45B40ADioF3RV7TQ2Y2ifVKX0GUhi9jJCd4ynbhuJjsF3JhIQDwSoHCZkHmBRrypAjBZpgK0gnE3WSOb1HfqGPuMs51J6uRvRgdbzuVd57W8uKflYqEl7bu+Pa0ezzAjy9KLc7kR8BmVuhRs67Znk8lH5aF8z/T88vv2b7rzz9Rad2HxWXmnZ+WoHzBoFCDVC/Wq4Y5zf3Yxv/vV9WD+w/Vg8fn9qlw3KxF2uYESsfCpsrrasyndWnS5SF0JUUg1USqHvPIWyglw8Srbtjq447Hdq+P8w4oZKLgtZ8n5wXw+13K11KiqsJFP2Arh7nfTmQKFN7AEr5SFITSgybQTGAEm6b57vJnYH1TuvKDV22/X4oY7NPi7LRf21C1HTVwukiIBboBZpe8RY6s8T9NEXfTK/AtIUKHsmLIG8gtgw+CkFKqhNrYxCaMyVY1Yt58z3k6uGc/OFEr860iTL4DhMsD4mbZE261d2nRYSTelCGqGQpLjQRgRijgihRB346WSdkwUu3xTEj4kz02m0Uyd1hblaVTqkmoXCmSRIzH+pAQ/AcB47qrzLR9Avk475pX8aS8vEIktVs9c8KTEgXsC3OPcHofMHH4xzpRDHfV63rZ121vyeZP1wv3OZlu72/30FVqOP7x/013ff/HWsx9Tr79+pqfl9fiZTo+/6jOjJp7Nc8sdF//a4uxdb1idO/hRXZp/crcad6ZWwqgoeGErJJTU4y1SGZVVlMqgyloutHqMUWMUYXOqQZ1UVSehCuhUtk8jVLezrLBot8bVSouDQ/lLegmD6Flde1bIzoBksMpS7aRhGlpO1mFhlV4l+ociQipJOhwAGg4/ebt08PbbtLr7vILzhwk8dJn8FEp4V9keS56o66c8swxHp8QowoCiUYICPiKCeMKzSOQnhpYVeB2VvJGuiUoGkhoNQyphUNK1KCjRzpoojIyEXBJhQk7BoTdunHB7IIrSWOXtXa1VrW4UFRPtqVFWJSzhFkIV3gp8mOCQmNoVfJpoRf59VyPaHcaR7tbktNHPwyCHZRhVGRDFqJ3uRwnQj+juTbMcmcuSmdMW71QIgznrJlN1lLdMhr2FVmxjR+YkjMQAuZC7WCgKC07Bo1VPs7Q1mfbbk4hP7RerXzhI2z9Uzy3/CHIwIxR45t/PmoHedyqZ4KiHh+9xeOf5b1ke3v3Lh+cufmudL5/bF6WeZRS7VtR7azRFLUXUO0pEzTFooXwlk9RhGChUBRgEwHSsdB3KlrtO3XSiHgWtGJl/FLmcz1UwgLXbPlPHGU2GNOkUAIS9ojLtpL5Tq587BecKPluYqlPmsHcEXOY3365Lb79FB3eclVhxJ4BQ472GIiB4C+oWZY1V4laB1Uo5UUakB2E9JvIShZKijT2IM2DZMEszUBIYA5bdGnN+K09yhPuo9FNUqGDCROW2aZbukpRCSkdhtFS1Mm6IR5qROwZe1DqgnYBSKUq1KujboZ9FmueiEhpQHAZlnO9yJk9LQg6NFO1fpwSQBu1JifaC+omxub1G9CcWFSEp89GoSkcsKiIaJY+DOA8Sc5aYq76bKqcscd6z8je+9/c1sP1CvHJ+Ang8t5r2Ssx3R53ZbNZPu8kr9s+f/ZnDm+7+x4e3nnuRngVXehaM8fIQUdS+Xrz40vlt93zTwV0X/sfywsW/VZbD+0y6ru9RmAgrldAlQqmF4rLiRoRqgnKS7XYkXvL6OfqsBLj4LKDRZKKAbGR1sVKZL6ClciT1uVc/mSgbiAwuk06V+pGTqglPp2baxYjEWxEf9vZjUuwtNdx4h/Y5CD7kzVM9v6fpUDVTVo9mZ0gYlauVmjAbDIA8KfhHffquI+1ibE6Ty1MuCAPDElQbFaJVBg6/LTOFy9BK0H7QjhTcqVGxXKCA98hZkRKEl0K5kiiXOgXgJxPjVJckxleyVCFb9LpHOqdne0cV1G+Ep1TTqBoDRChTYWyCqo5qqEWQhaDA6NdELnE1wptDlmVFO3g5Lc1gA3kBKACNw8pigCukChhVA5DJjdOUAwNbtfwsqOPQ8QiJcaecCRLDS0KAGvA6F/uHbe6D8jHpFYBPbE9VAZ/SIcI+p+lsdl1If13D+N/2b7njlfXChav0DL6QzjN4dEdDq7X2dmGHuy98y+LC4hfiYPn1k0V94YmYYAphvZeVLqFcgfJEkAa5esRRnBDb05ClAY+mTDEsFCehSKaKMSWerVjNYJcLjculRhQ9aLebTNV1vaKjAZRTGGDFUAv1KkYo2g86HDGOQEGxO1UOfkfAZX7jbbp0/S0aeeO0tZR2aqet6NSNVdmkxL/cKNTRVBzFSYuMASRVA1cJxho8Qx4MfKmFoRZVYMxk8+RnUVUdZS2Y5JB88wnPMgGQAXks7dlpJtKCM5E0gRfGqa5TK4PcWpu0G4w9EhHajSQJCmSvRiGR3igENyZABgOvcFhJMX/MK+OpsrwEUDQCSI5BxekmA4VDmgLTqkSZtsVC1hi6DO4OK4BkctxlaitXKC/qwQOydh9uhye5f/mCLxWAzTwQD6hDlj2y94Kg5aCR7fTy4ECFLZ7Hbs8nbc9UkZXnP/d9yjm9bx71HXvnD159ePv5P3H9M/S8h6m21J65VA/qu43nDr7z4ODSr9T5+HXdqr5br4wtZQUrPZ9KKEjXdRIGJV+E9UjpbZMtneeKAZm89TG4eFtkz0azqbrpFD2s8vZpAeD4a/OiTrfFOSGutDAWuX4XGlPVCNAknt2dAcbAFHTWD6RcPNT8tru0zxbqgFfdurTUrGRlQMPNVJQf01HKE1hLGlnNvSiPgNXoPNrgyEkcpWAsidFStyaFkgS5H7dT6G9grCWSH1UwlhpSI/gM+E4YRUySEttGQWmW5PMqTUKVM6fKcxAGIJwoF7OsmHUKQMeAVEmrHW3StdsvcGAS/SYAJgXlHTc13hI8kzaaOuI9WyFo7JRoKDlkjAlA8BapEtZm7DCOfKqZV8hJBc/HpBYWlSWErAr1LRuBEwHQ3JcMOEGbJjcSNNTySZPrUWddF+gjr1C/QmJCCmXMj0r1SOC9SHhPwTPcK9w33s/AYlQ8Ycx/Bnj63S1lPKDEotVNJ93WZPon6mrxX66b7fxjgO0MIntG3ekZNZqjwTBRqV5avG89e/Bt48WLvzUezL9iMupkVxQpkgJCR7TWz1Ac1wMkqimHvPqYUpdlsIhJpyCeTRhjBqQCctWRvfvoP2jFamaF60nv2T65PFihigHWaafhCGzcnjstrLRpBSe8YdL+UgOvYhc33aHFTXeq3HVJ03nVtvq2fQrUGO41RmhMEA2MqhoJo+sl0vjAMCXVpEQQNE3QVuRSK6ytaSQR+1TJVdix2lmUx8dZVDV4bPVKJsAjcQAavHVLpp1esd0pEzcllwVUwsDUh2TKNO6OE52bgLNaRxV7AnQcY5JJA+V5lidhDIWfkUUlbnt0cQPnCGCMBosVw4IYPGWTEuUT4JoIq6lI2HyjFeBQqBdun7DSrigbUOV8rC5GVdKCvKDNRuQ53+Q8k5aMAXK8mIfFShWvRYCHiZ2fgn4FqLhjDzcRDzPC3DpM8BKQvZ1+SHinjJ82hsOFVuhNk0vHeJC1wdpnPkLHJv1ke1q7V5Zb7vnNetf5L0Ont/UMudIzZBxtGExM1Pn8vcv5va8fDw//63iw+Nq6GjggjsC+FJTCZuUIdtn0PYJUVtxKWDHcmlnJUQJPfCMb47SX4wll6HweAwV1RpRmeXjI3n3RDDunrAkA0HWdMuTySkkmt4v/3JTUSphQ/rRA0/cONd59oXk289vuVjurWUpboEH7BbeVOtyGVAhHmDcVwqGGRhOKbj1n/KIz2eYraUBK40seG2MqHSl4K4IqHolQdAEiDUh2J0qASjZtTwCWqY7PHwxAcnkARj28OOxCATi3zmx58AGDWD6GikEfG2wACAmgyYBJHBt4Cyk3L9IB5yymw5GzD+jSSnVvhCybleLSwKvpotj3M2X3yD8wEZ+PErTR1tkAABAASURBVAfrycBA3CDifvJxf2QnqgWyFlQB90rZgL/gWYCP0zXAC2kCWCpp0coIcDsitwNKG1BMwnsx1aNQeDr1iOSJQPbCCwriLZ0ttsuI/t1HXiW1uYWHgfO+FcTMKHkxw+PJvJa3F524mLuXDqvxn8/vPPev986d+yDmmAnQ0/p6Cg7gscuTich1b++5unT4NePF+c+O8+U/KKvhvTKT1ikxbxhIBA1DDgEXEiVC24pDU00UsSFlIkdUePYXx8JnN7MZBaRyMNfKf4MFZUlFLE4TdX0vK0prJ9QAjaxWHsvHGAuvswdlFDtBwSvWcs8l+ecIyzvPSRcOtIVhTgAbsZLaTQ+FaoIXvBQizYtJKH8uUpQkx92Rs0kWSSpRVFhyS5ZGqHRSYStkoLHXYgCJBjATiTAAmUZbnQIPxmWE0gvPTHho6mkkQwkC9NyfRknNUGGEsVQMvwIgLTwAMA4BhEPyTHvELy5VLmL9+0V1f6WR7eJ4aaEBWl1caAkdekt5HgA+d6B6z550dl8V0tk9ni9J9+xL5On8AW0daHXpgPqHtLWA5q1duS9AqRi4DFImwKwB07wqAJNuFUoYfVpIFaOvY1XBKxnmKxUWgTKHXzwamYiLc7UgvxFDsMdU8FQaASbliBqoHM1bA56x6HjrZeBp8dVKorzLJsA4I0Nvp4O+/PehK+02XQF82hzgZQpC97aj6i/Ww+GnFnedeyX6flJP4wuNfhpzD+tMwK7mqy9aLstrloeLb2fC3xOgSb2SBnx0TIB5rJQ8uonamCP4hFoq4GOvJOWsipEXniugE0x+xqtJk06OVw4BBwBnmC+VMbxZN1GHZyPAYYwqMKNRpd2IgAPJh4pt1WP1Cyu5jeX2e9rfmdm76XZlwGerJM2ib22m3KnilXhr1w6tWU1LhddSyQ/1rMg2nB6l7byi03eK7E86oxwgkSe9Os6ZMuBhIAm8mfX2aKIAZOzRpBNTdbszdXg1AeAYlGRwmnSSPZkcABhjkpCjMKAjov+RFbsANmUxYqijKqATy5AwZDmcCxAogMGgAcBZQSN0CGAcQHMAZsnbuBXgNLguA53GRLN+S5MzJ5Sv3jmiXaWrd1X9i/LdTsut0HxStUIWFYMd6X91uJS/I7MEkJYA1HD2QJV4uXSocX/BArEUxgrgjIANkw+wyMYNQEQDnEHjcqWRs5YKuBgQRoMA25+BV98D3uyK+Eia8yt1k+fWpGhznJh79E72fAoezwiwmByvgI/g16/2C/vGEeAp9FVou8Kfwa1Dl+z5lPkcPlbrdjIyZIvr34v5HLHLOXaie0G/rN+xPHfph6qPDyqKoafflZ5+LK85Bmxy3Z9/ynBx/6cBgn8RQ3mPDsBImdlC/7FHycABKYWEkrQpIt68gvYc8uIdEXgHocvfNPZ2Cs8lTadSP1FhFVzi2Rxe3GsK0WPUaTqROvpy+31Sdr9ScwSKqvzdHgJc9ML5g1Qu7MvfrZnffpcWZy8oMLjtfqbEP3RRjRxHSQOXK2pWBowynk+C4SCtqDZQK+Y3aDOKKoTLA1BV+TymsGUadgCu3U755EQZcEkcVAYAE/7ZxYktlZ2ZRlZQfytZfZY8BguCPhrCYJAV0ooBYdh5kRQHRWLbE3grCUckXapKl0LpopQuFMBlriXe2v65C9q/eEmH8z3NxwOVflDezcqnO21dt6ut55/U9rud1NYLjujdTmjy/G3l52wpXYNMTybpJMB3H8pnZuqv2db0Obvaet5pzd7tKk1fcJVm0Na7ndH03a/W1ntcrdkLz6h/3q6652wrMfaYhYY06GB5qIt7F7V36ZIO29kbxo38DUby+AapR94BkItzF58RFeKmineU8XgS5XnrCYCBrHhrFbAzYAiAKUsDBcJikdNIYyxODhNzmQG2AIhkQAN8xLZLLCR+NoBV2hYUq8p8d+jKqJH2rHOiXiiUpxNlDpwrc6tJTt1y/EQ87Z9enrv4udgBwtLT6kpPK25hFiFP6nL54WjSq4fl6odjKB+TFVsdhhjkM0eqAItSchSjlAoZ9SivEGLLGClAY4+iz6p9p4AyYGLvIHVMPh6HqLS8tKeBA+JAaaakd4CRjbTiCQiyRzTSU0GRAqVKJhTNoewRsKof3nyH5refZfWfK6HkExjqIikbZGCIKjKNoGIhVYRexGpNUoVht88YKCqZZ6hAmmYFh78J7yXv9soneoxtqnxypoAKz/XERMLotdWpdIyZBmkKD0y0KuF8aUDhC7ZS8V585iAAxuASnJ0ktihxaQ7oYFQYRyFtuX+oOXTAK+A5nsAcQ/NWLm9PtXXVSW1fd0o7zz8NndHkupN4LVtKZ3rpRFLsJGkrqc4YGl5L5XR/TaNqB+WqekQlAarQGANzODaqwsBxMwv1Sl9UesoTirY0DdrvFABOumobEDuh6XPPaPeF1+jkC6/T9nOv1vQa+Nnd0og3N0oa8bSWB0utWFhGvBjhQYFT6kpWD3W8LQu2ZJUzo2LgORxVOPQf8dQqsjBwOa8OtIYw01gVJtpp3o/TiTu9tvaLoj0XtnejCmn2okb6r3hTBU8s0LUgvRKvgFrAp1jgAvDRbKKUc+pSeo8Yyveszu3903pQX+AiTxdKTxdGzSeA825lvvw7w2L148Nq9RkRsZUAF9JFXOF/Vf5UBCEfEUE8hP6oEq8YXjCBylkJwLEhVhtwThKUFEoJxWWVWl3YUwI4cpG6lJUBHTJRfmlUhQgrSg9FDZSpsFJV6hS8gqUWt96lQ159B8CTORvoKm1EVjKwoKOVPugNAKCu69N3qbLer9sOyR7bGPRBf5EoDY8xy4ptaGci7U5VoXRySwlvptueKqGYmmaNlBv7pAo40qkS429EJ8kgyVYoLRNnTaFwOA/pAAY4B7FByWcknL/4vGGxv6/Fwb5Ww1x1Sp1TE3XX7mj6glOavftJTfAw8rUzpTNTBWA30vfQh1ZZUIXEHDCOVGUwKS0kHpWRFYiQ7h0zeU5JQQ7wE6GaQh7/Oi8k5HWZkBtToEaI3ghekG2pI3NFK0lSJ6VJVkJm+fRMk2tO4D2d0uTqU5qdPqlua6aakwqeyAhQjN4CsY0e7XWwb46gLvNW8IAq+JuQXfX5Fd5fhUo7DAe5AbFEmWB+A14aT3xUAxFyD/iiExmQ2iLFcwFgRrZWAy8VCtv3AIAQtAxSlf4dFzyFAp1lIFsTBXOMCHZJ/yv1cO/72W69vNaKtPWUv9JTnkMYRJiTOgyfBuD8Zh3Gb1DV8yICJUMhuVNiGDzr6ArCiJDTI0KRk8JlAJkAbKxcQVyAT/SdEucYMe3lPJWq4cIlrdhKdSgOU9zAptUP+mwGnOg7NFphUAZvRWJVG3gIr6CBzY23q3LGMFtUzVDamTLuM7zg5YQJBWIcSvwLtEdcDgvpJWgfCngO8wiAyK41FICNMOi63Ut4ODo5lU5AAE9sT1QxLOVEK0ldDfqsErZgHtF9uc8yMkbA1Ktr3itKbJkK4LLanwMsc+1f2tclaL5cyqBnkJue2dHWc9nSPP9qza7Fg8CTmJyZSNshjmRUeske5DExXAWyYhhSMG4SqgogsuLTo6wKmCFL6ysk+F1zzufleChTKNOQ5ZOUKUfdIgVyTJRzuokU2qSdo7LRylCWeaqArKJSBBIUTC48C5kJsM54aJPnXKX+mlOanDqhbnsmcZheM8AJeC3wOJZ4IKJqZpCJOQ08IPmwHM9QeIQ+JK+EeOEAeZV1ItNNhscMZ7nKO+G2OBX0JuAr2MYmwoT3E05jcRJbtyAMPJ9gngqhz4LkMaATFe/WX8GYbG2pz12n1fCxOpz/ivZXn4+tWGX1VL7SU5k5BJjqsn4E25Qf1qr8kIbxBehNeAIDxluIQhKVHCZSjyiCuEQyIRMljFcdwwVskuOkJVNmjlBSsdqs9g805+xmHAZ1HBAHACVCoXii3YLGVRTElIs0KVk9VtmvJKEk81vu0f6tvPbmbUwP2ExY8TIGL2XJBqKE3scRESedMdIq5odiFlAhw3eCnwyPaYJVoGAJ7yUDKskA4xCQyRhKnMAwtnv5D1YNk6TC+Ap8MmgYon3QIBoJA4B4g1O8OtswMJbkOCBZ2D567AsfbsJqf3JbO887o9kLzqh/7kkltkj1zJYK3ZVmRQw+IAA6OMfoiCcOpUJFiQmCEzVDIr+jWA91eBD29HrQqSvwhtEm9mSNkGNCjonzlMCDiAW8LteUViGZeHYYhMnyHmgU8BTG2ojHIA18EMgmKalEp4KMx0SIPOlCdCu61ZiqBmiZRi2ZTMdLohG8uLqNTpzaVgaIuqsNsCfUn2D8APqCDg5WCw1ND9TmsoE7fCfkW/F4Rs58iuXK27nC1s1bMAEeMr8ARwNAAMbAU5Cf2J5ajhWQDxYvb+MKW7jK9s31C7oVbO9q2/6CYsgycpJM8BR4PWOKq+cHe//3cGn/H9Xz9YyewhecPzW5q/v7z9cwfOM4LF5dVqtP1VhmNsYEUEQEdhVqQg/455lPkahKHNVB2aRqA0TZvFo5XjPDBUgCyiwQQjGFYXgvvQRwRtzpbINPmeQi11MIna5g3qCxKUxVRjES+21xxhEo13j3xfY9m+DNVI9i9ChXH1kp0pofFKtEZQgVpmjQjR4FYFEzBMFn87YI+0mvjOeVTLzBqLjThW2BQSbYRomD4CDNXpo9IcFzddM0FkpygxXrKjyP8DouCofhFOC1dhhw8Gp04VADY55rqYrnNLlqV7vPw5O5lpX+qi3l3V4xDZW+YpRVA4ZZOtiHCtKtQvkbFYnxccKuxHPUQcH4A7kGhimAgGQJfmSwADQaqAAsApgbzeHNcQ5thfzWVHkrdpR+lFc9DvJHFoiyGjWy9TAVvJBKvHCmUom3Z/qNQWoEq6lkvIwjqgleiTuET7BHiY9CfESQFFXBLRkzY+uTBBDlU1uaIZvta09renpXwuscO6RAPW9/U80AUKKPkL0WH1AbbApnPwaQY/CQeTLotvKB2GgDeY3wq1J4Q1mVGUfmueDxFLzPyluuSrwdXKN348GinQUJfbbHM9ojw2NLs+nWsBy+aqh7/64eHLy7nqIXEn3qcMaqH9C1CO5Latf/xrga/y7K++7Yq9PvZTRCMonLIY/EJIcpFEzGmphUlKKasuQQPCE/eChSQQOYwIE3Gt4/T8jsIsStKrL5LFBEVigrYTgZpQ+vWqw84sxnecc9Wtx1VolVqSkLzQZKVPCW3IYVcqCNISQDotPcJnigRjlUJmtqPy/gwDcAgQYqAE0CYDp7NtszxRbbKF7hG6CwEilSU/SMlay9BJJYcSvGWzmXCbyZfGTcfrV8iUPxOWcVY5LSzpYmHKrO8GYynkxcxZnGDhkTOMxQxVIhey4TDDEDIAmjtEdDp6LEmuChshAUzNg0YsgVadUaMsGRaEYVQxKgIeQngNDGpwFgIV5JKwD4wKvpAqCMAMjIql8AEHudw2ol04i8J01nAAAQAElEQVRHYM+gYJwjQGca8LAGOhhq1ci/Aa5M9kbTMKoRACUoeA7GYSASMvIXNDt46JivxHC7kDI6kBlTYgxRPWdQJ6345wNtn2clDuk7tpuTq04oExcLQzu7igIHkgJ9QQ4COC6DDx5QQUdGez4AR7hPFCBRLiAhW4ahkTHLfFI3kEXlfKdaLgafvbkEAHW8jGiLnvPFBeh4KxiTTt10MsOG/uxqNf5C3V9+CPFEiafU/ZRhCOHEarX6CFzPH0q1fnct9UVMfiQ8kkhJJvRYRbWRUkiBYhNUxxslKa8p8BgqBu08n98kJiTnTD6EggrjwxXVyNuXjHJN2UY1JbNS8pxTUkga8W5G9tQ24gxyhA0HL2EEaBZ3n5MWc4EZrHBVCUWqGIR5dL8jBsG4sNGqKBUjrI13dE2mwfyx3RO8+a1EsFXy92jK7kTyec32RMHWqr1d65Iq44UlBUahyjgAQZ8rBJ5AtwhWSPohHivxloy+8MIOzl3SAo/GntbO1afbuczkuaeVrt1WPdVr6AvmtNTg01E3qSJFpQFxEVoejCnVJFMUQhMgLNLEQEoNJUKZH/JwdhCcmpdRAJQB+a3fDmG6yHvJoel8fqCDw33NFwdaFrYrWH3zpHqpCXSK/HnLlbayut3p/ag/va3JqR1NT+1CO5qc3FHPlrAnnOAJmjKv2QMSh8bibZZ4i1ctV6gi23Enq7IlrcjVIDxg8YX5GoaFDGrWr9R3Su1tZadAP1gINSD7go65ng097W6pg5f+utPq4KvOEr5jEVJURKYZ6gJolYWqAjzeeo2Aj7xokZYAvTxWzt6Scs1CSVr/Bh/rjEEzU66yOBYOmuvFA8kE+BTAqCLbCkglhTr4NWVspg7lvcfV4tXjweKT0MHQU+hKTwVeEMppJvrvAgo/Ch58nOUXcSSnguI7nkKRYNcUsWabNB3Fq+NQRChyllwO5QiUKpgE123pgEjhDYFXVa+iok6NQEnoh1YDEn16Ir3iiBW65xCgx5i0t9DyznM6vPMeLfFy0jAoixoYZQRtQOK5mir6Qxg1UKZQR/3Es5IUgE0GbPpppwz1AEsGcBKhAaewtSmcK1Q8HmEY5l+B8lYqj5LsHbASCt6wWAWG7TMl4d0MnCctzh9wrjgHUJJmeDPbz7tWW885o4TBDd2gVVpCK40YWgd/fWTYCo0oL62rmk+ohQxPpDTCKAUI6YiHgA9TNtCxRUps35JfK+O1VFb0kZW5sEInVnYbFiJQTLL8hm2yu62t0zua4TFMMdbJaTyvUzNlxp52OiVAQYCOZvQ8LQBEUZkCpKZEmCS3V+CtURQZWMejsMSokgb5DKp0RbXR2MLopW6SJOQh+k3038FL4hynA8iC8zJvW1YUWXnMgEGoVyCnyFlYtwo6VYhXwjrptWQbKur1Z05qwvYrHW1/lUKKQAeSujHUMVeBfJb7h1oCIivkU5BPAx+ty1ZJXuwCMAKLJeY64anZ6ymAzzhfqHIUEHhBCcq0V/F6olCRxTZxDjjpJ0o1XowO//vVweLLsbFE7oPud0XCu5wRhPH8Mo7fAcK/Cnp+1MpdUSUJe5DtzHPR4iFFo5AnRlwRoQBgTM6sTHJN1O9DYycVniOSPIF2U0cmemSiDCw5UUBZEbQH0IhJDlbs5Mljkl0HXVW4zl3nNGcrNXJukzH2SU1yuYJCyOVhMJQkhUS8wmAQ+rkG6ShDoJypnypNJ4rpVMFr2gBo7J4L0NHR1qpOswr8V3inGVW367YK7XhZxhqCs5G2XWEsIyve/PBQh4tDrfKonvOHreec0vSaHSWMuPYYXQy0MwhRqeMjwyejJo08BuB4TsnSgP+CeAp5IzmV56zKilwBGQ2SgW5N5OH5Vdz9as8RY/DviAZvjQBiMYaMt5ZPACbw1GOU3c5UiXEmPILoQpFDMgVzRo901jiTPyMUKcOL4ENMT9XIPAXAlwyQ3oqwiMjEPNSWNqqSXu0dmDcbZKMVhkoeZyOs/ioczhbihbCBN22iixK6Ez0BgN+fmKo/OVMiDOQovK+KytRc1KiXBNWOGQJ8Sk4qXVJszxRnTihOn1A6uavKtnjJGFcRKpEZTFbHHGa2voktcOD5VHgRc2nwSUXKjL8CeIWFoQ4InbElxhQA1MiZ3HDxUCMk4uLcKAP2Ih8bgreQpr1iig+e4jkxDt86XNr/mnr77Ttw/C6/07uSg1rrczSWbwrF56FvE0hiYiJIweAERYRq6D4XD9zOE6ENs1kSBiMmXJnyjAq1UJCWMloCgFSvKKwSgYFkGsxMfiYvK7ObiEbMMQo7SpQPlDg8wRf3tbj9Li3PnlPwdqdH6dHLNT8oR5hoT0qkhcxsgrHgOVgJBY0Azohn07ZJKIMAHKGI/o/dBPCIlUkTjGuS5PFEonYlDnIF+majsMGbBvMEfwWDWmIwS1Y4w0mHmz9F0bc47Eynp9IMI+5GlYSxseLLmpykhEzC/JlvwjFgWUcXYxPAa08mMEIZOAgNOIFYgu2l4Md8FM5ERngxP+ZhOZJB23k6UQ8vnYGGbVGwldGUOenoMNMPPNAtYoI/+r7cO/jlRwN0IVIpVIlUqiXANmA0039HNwEv5tNnTOYzAYbBQpCZsxbHm0iHVemAVg5FCB2GgmexO0lOIz/vV+VLg+IC1n8RFIcqBlwNAoxNyLYBmEYldCtzdtMbONnCdYQGz4JdD4wrAzqp7xR4rpW5rD0DBXDFW6/uzK5m110FALGlnXQCv1UZW2I8CS/RHqoaMA5y6DEk5h+OERh3VMRU0NEq62WCr2Duq9+SwS+vyiXeRLquAFwaV83IHB4CvYtIp6T45nLizNdgcyiH3qUXknnX9M/gJ2ypvkkRXwAHXQQiPqaUSF4/E+FexyNC4hZhBBHKNeF2CBhq6ayMKfXK0Smrk1hBlhcvaWAVbgoaoQT57MV7ZtnQoCqhx0UDB5QVQwtWjdU9F3gFfpcKB5sZYEkUcj2KCv5RAglOW8hY1mm0bT4oLuxEBcDJAE3CGK20CUVMHBAHYTvDsRs+6ZWstOYZ6kqnhNIltnVCMQMjq+zd7VYnAGfBmcjeaq6hq+pQ6qlf7XKekQxkfUhWuISeBpzCTwOalGDLCaRxRwqlSMoihNlm2Bi3YDrQ/TVRHoO2MheMwnIYkKP/JMOwXGgYVqzcVRnlnm5vqdvBK2BcwlMTaaJPcdG8LKQaLAVRG+DIF807jxSR0+RXyVcikzBIDYAvAMLmAQAsAaDUIg3wPWK4BWrhKBXOsnw0ZZJfvw/IEUQI5GhKlmthxMhUYIwAToE34ny2QgUgqntwszeqXho1XhhULqxUz81Vz1Ngjw7YQor2xPYldraV8WYm15xWIPsRsDENDpGBt8cVUCoTBkRax7arv+qUppwBGZSWKkLcisgekFbekgImIzorxhmD0INQBJSTGCrlqxI6KvShsEUb/RWPC/saz++pcNZTOOupnBeFFyzqWa9i0ql2aTZo/MayXL4K3X2XAk9iet/pN4NGyvrciPgcOu8JCe5zIzA/UU4KSRiIImSKlAhCDkV65bkchVZgCgmtlookvJuBN1OBoeaSmKxYpwMyDWxGCpFXcV0LwMIhtjJJrnNw+91a3XleuyhoZvJBJFWUP+gkHZFEe0eUIhQRMk8CaDzRCQ8mASoCdDRj4jkUrVCBRs4rrJyFFbTkUFVgl5D3hBiM6DfQ8ZFVzXt+hyM8+oCxo82dq09o+5ozrJ5bqp2HhUqhpUMqMo1BiyHsnrbhq4oypWhkK2K5VmRQGH+w7IbHR19W9LUxUhhjDAzMVJDRuFiq9U99AR4dhjQFZCb2alj1xZZJGJiSe6J+gjJ9ElbKIzIMZoSAl/bssDagMWDDKVMWwjFbEzyFLdLkypDVoiCninyCt3THvCYAJHOQ7jDhOWQoDCiMrQKaBao8j3i5IwY5Ok77BRmbRkIx/iAMXkPVOQa+L/SnsrWGACBdXKmcX2rEKxrO7XOmx1YWz2jlw2HkJA6ae4C/M7BwTpXZTg7TpBEKFhlxRieASI47n4Vi4vMjdGNUFVNhsaoCNvZi11vApSo8Ww/YZcHQ+mZq1SGMDs8usyXjRB6QhGFAJ9huebtm4CrN66mINilY1JQTplD+2vLw8B+iA8zOur139md6Z3fIYIO3VB9M+I30jdvH531uRKTCs6liLETXdxAkPribYTsP4pafcQyksBwZEl5KvXSoyoTYY8ipp0hIVlgarjUUVChMWoXECtqhcB0HsSMKtbjzgnRxrgnnJwmlb3ZUarOnIKwYr3zBz3r1EV1nJcAm9Z38NqqiTMK7idlEiVUwTLjeAnwMSLIS4PoqJyX7GyVjoSFhKMJITCN8eetyyBsy2FPH4Wt/9WlNUO6EAtcYMdpBpWmhRDOMUFBVhFT9IYlooyRRJBh7lTwGwMT9GGwqMhNbNtHn+rloxHgHjGDgTMGvp6MLTQGZyQnOigCcZkSk0aB8jmYBFYTleFVVqfRDn4URlsZBtCc+qBJKCC8uk9qz2tglh5cNEN4GeF3By4p4YOh5f1Q+GJX8vSNvhyBBFU8BqjqE+QNcl8N5DUhQXixrXi1rWixqmi9qLBe1DBg24xMLT6yqAkPNK6kbpAyYBVQAubpM6FNVpV9dHJXPD0pnF8p3QoSV85UKCI37VID9YMHpeaOWkVfppREaWGwGwLoaoE9OFQYftsTdiW0FC0nNnayvwTgLuujzJuuwn9Mg8tSk6A97+JHEQjhKbAV9fCDeVpbzhyrnDtlKMgj0X8gtpKabGZ2LiB0Wz68uewd/v9500xZZ7/Qbtt/pfV7bdd3fZvDvDmE0TCTK6fgxpZR0TERUjlmknKPVH8FHxFqxSW/KS0b1gebBIQazUuCZYAOeIykyZrAebj0CDode+f2qW3hFqzvOaXX7WU1QXI47MRWxAg2Nx0zbKUIRIaVQMREPgEZdUslF4wQlQKnEIalQsEazLKFkAdhoSoEMD4wvIpQ8MJQpCmmAm1iBbWiVcGCFW9kYaHuLNyJbz7lamXMSK3ChImujwoOj+QRF0F5UhUalWiDY5Mmfcj/0UQdJ9FMxLq3IGbOCND8bdAoKao9mWK204jB4dP+Ms+csY8aWoDPQeNuEZ6Yu1Dws8+J4lsAPiTyDYA0pIuR/qQp+AkpQVgJgAz5E3w7DiMqYK8YmbKgAfiNGV6GAxLlLwtPoLg7qLw5j3V/OV/sHF+d7BzctDg5///Dw4LcPFwe/vr84/On91cGP7ZXF9x2Uxb85HOf/8mCYf9e8Lr5zWZffsdDqOw/r8l8uyvK7D8b5v58P8+9fLQ5+aLXa+/FxXPzCsNp/zbA8fF1ZHby1DIu7SlntaxxWgE9NyCuvQh0eVp4zHg6ABegVn6tcWmHoczwhMgCecmGp4t+tMabA0PPOCaUtznP6XpWFZ0CG/imDvBXFIwoDz7VnlDl09rYt2WvqJkrMT6WfwtY2sRjEouKJKy3M5QAAEABJREFUJ1XkumKO0UziFRkXMQ0aeStbWWwzAFjO4/mw1ZLfcmEHgSuV0Dtsj/Wu245If69c/ZyvZvHf1jv5Su/k/tzdZ/HxyQw2IEVEI9LaXUMI8l5yYgQKfh8yEFUyCqt1jqRUsyz0goDlCUKhAwuoNHZMLtuMCMAJvInCiplRcJ9vFt5OHdxxVoP/P28UZUJ9AxF+hG2g8UdzOCEAiyr/6JwbO1bByATwBCtVACqxPVXm7YWppbHitYPFLkk5KXJHe1lJUMlNiYRC22IrfA0YPMZAu1Uz3O+tM6eU8JJGLJQFV0NfKVoU9N/k5/FEtOfAe7MsAnmEmWMcMC2hsKbAyB26v8qCXFgJRwC2eNsGNaBBmUfODBLnTBM8qp5V2NvEBjAWVi+NnCVxVAKPoerxJ+G5VHiAryrGFjwHk0i6pAR/ibkIe468tRHGI4BFGJR46xLenhA2I+bsJGGwAciUi8ta9jiivnRwyOvlG1b7hz87HC6+ZaHhC4ZpfNLs5OwjZ+931Udun7z6o7dffs3H7X7AtZ9y4gOu+8yTL7/2C3be/9qv2P7A53z17gc9569tf8Bz/vrsA6/9mtkHXPPXnbb1wde9cvdDnvfF2x/y3M/f/vDnfe72hz3/z3UffPUn9R967cd1L7rmo9J7zD5quKr/uMOd5WfO+9XfGOvqx1bD4e+PdbhY6oj5DhqRU6B7WVmFBSLNK1uxgW3OSiOexvLufa3OglkXACI8s1CvfralnrOvzHwWtl3DLCQO2ovfXAJAmZcAmS1zxTteqqoit6i0j3xGzpMCna2c5Yh5joQeoXcCSIrom/1XQhfEYlH25pxB7QOCe6oAkPwCBR2IKoonZdfrMupfX7VaLP5StZEwT++sO72jOnqodhnc+0NfS94Vo2sNSqdQxL1kba5IMOe8TmeFHniVXTiIE9ulFEmZFYYaKL9YzYu8iqtQE1dUuNAdgCP29+Wei5rfyZspJmYaWTll+SpMpMOIUAVxTKJdT7YADnW9ojdNlGczlWkvNeLshtWsTgghsd2KLssEszCQ1mQAQIkE0Hibt8RDW+DiVzylCW75hLMBoZg1RpUywPqoasWCr5RoI0K+YI10tMkPDqx4tGNwqSiawbUwZq+Wa6IdjMQuu72b0WDD4fA4DurgswdsphxOdxhDBWQqBwpjwGyuiowsstpYIq37zxHImDyJMEEOSSuElvFKWp+9UIZzIh3yjB3qgLCBDpJmizTiLawuHNbFhb3F8uKlm5YHBz+9Ws3/To3hj5cSL5vlqz9wmq7+tMnLr/qHW+996ke3X3zqN+OF27dExMV4YRwSwiRtPs6b+iO0jOfGfly3e8f0JSd+f+flz/m5rQ+59rvy9Oq/0J98zocDBO+33Io/uZjpm8YYf3m1PLxTq8UKR0+ROiV16gDWDADlg6LEgfRwdq7lXXt4QgzYngcySehOQj8r8i4ZWeEJC8+4dJJOoE/POaU4ta0xZwW6llOvgrcysEBYZ00JbzUX6qILCVJG9tiEPZqRFw2Bt18vHKhyyCwTnrxYZFAfNT2kfMpph1rfMq5W/qFo6J10pXdSPzaMWSnlayPiRRDjjkZ8PGYWXD+h9ACYyuFCA6f4AdhkECoqzbEWiWdhfIERupxIC6cxeQ4LILPk7VS555J6vKNZeMalEcO2iTOfNCSFpNYfk5RRgCBUSoo+q5tMlDDSmE7UbU+VWK2ieTy9EgCUUCp1SS5fU6imzJwnVQySjlrow80VoEknmp7Y1QTvIvuwsQebgJoaRZGlnj6BMTy6qhBXa6/F5PGVWgkxYMZbGGvxgS/jNV4IRS8AXHU/KKvBpykwZmr5TCdTzba3ladTxTRLOeQt3Jhorw8FVhV9go8kyyVCjYfkiHyRgOxhAKarBA8eXyP6q2ybKh5kxcNpBNhUPJvC+cdwYb5iZb5Z8+EnY6x/P027Tx238kfPdvc/c+t9r/22/r2v+vXt97/qxnhZXIqXxzIiCkQn7vcdS+4HKvGhsYoPiv3tP3bNLVsffOaXtz/4qm+Yvsc1r5ju9B+/2i5fvOyG/7Aq5feHcZx7C5tAjx6PruNwuwdgk8fLtms4f4D3sa+K7iVE1qM7TKwKIq9dUtqZqgD2AyA0ufqUJlefllwmknIDtayRhSQBPonzqyBunU85C8RT5NTCNjksNBWgGdluDYDPiI3YVioLrnVF6GamXkSc1li+SePo3QcNvWNl6tbh0sE7ljAK9/NJKaVX0JPjBPe5I+7z8OAo9iTrdBMm2TbaijKPh8v12Q1K7kYjaMeFS1krPqpZbYA2OBOuacKzqEzYCg9nAYm3QzaSESP1ZJioJlNECJ7lyQxPEBNVTZOsAFQMMGlropiBEM7vO3kyW5mcqEe5lKUwXwSsgua7YoQDALAcVhpiVObMZHJqR4Gy1VQ18M63WHtb1WjVBUcB8KRI8lVF+hGRpQLAVkBGg2SgCfoQimeXXI7TX2VLU6x0PqtRUQCcPVvBmE1k5eeViPDmVbuqNEnqJownhdT1pAN5OSlBkSQPScdXJVIoV8gYCe3dmAAZmfBkxFuVyhaBbVKd7+3v7e8f/P7+av7vl934mUOnj+t2T3729GWnv2X20qv/+/Z7ATIvfvE8ItwyjT+1bvMV9oj+j6t/f/oh133v5MOv/dL+2uknrrb0xYt++E+LmL9lSCOQUFDbQKydEvPiN2tsFwXQqvqNmAFJvXI3AXhCY8YLBeSz54OzwDgxVWbLpZNbWiH3MdFOMBfItjC3BfApeK1ltHyylLKC+bLYwknWCY4cvAuoAF5cOFTY27IOYESeMqFTyvndyzD+q9Xh6sNqhWXXfQdSege2fd+mr+Hh70NXQ/e/LR3IQzUFHyaJRKhCpQq74jmOiIQRsPD2gHlqLj3CUmEbUtkmCKoGESaDJAmA6jCGjoNAIfjV7edwOw81Q+rggOhSvhLtRwTzkBSx7is6JtKEgVbIABOAhFCKgoL428MiDIBIKIYpmHxBNWinSFFCBgLhdifOUlbwvoQ/VvX2i+XuFC8RtlEmzmuUKk2EUkihqgh7MEfEszNCCYFQoBCg2gYVu9tB24HXZi8Cz0FhkMGlHlDOivGvUMDA05tMJ+o5FA679BN66YtqT1szaEq7AA5MSDkUjKnmTu0ZBa0wViPkq31WYhhUAxe8GbG6q4Wk8/Jo5Eyjcj6jeS3zi5duj9Xw/ZrFJ+/WMx988n2v+cs7L7nqv85ecvqtwRaJGu+8+0nsKSKGeJ/tW7Y/7Kof2Pqj13zhdPfaPzKc0VcuZ+OvD13Zq32pqIJUKtuvrI5X8vX8SoW3XuJNmNDNzIIV6Fe2PBMffhmxi9xPz5Su2VU+sytxJjRm9MTzj+KOzOnAeVFl2xoFPY1eCb3rIHUhHuSte8Wj1Lm5AhJvt8LP6ATKJdnDyjlqSi9Czf81Z0IvexJF85BNpYdMffITP4UmPxAK6CFvJq6lV0qY/IDoHSiYBHS9TVpllR45LKsgfeDFYJNKGFJi4nARVPFkig2RlV1Qad5NUdjQz1/U4vwlFc4xegwpYUTsINTaiGAO1kREiRkQSiCHXvHxbJIJcOkczqZKk17RI0LKVZSmEMoTrgA7oEKe+SoYNoa5wg1ZalTHQeLWmdPqT6BITLpYdUa8Hh9OuoqC8iZJFfIdAW8KiTELwIqjsXks1eOdjzLQVMZZoIp3U/DuBvIK5SuszHa3lPHMxBh8MGyvKlBOjyEAmpigtIw1uk6Xx95l8KYioyrhQQbLamA8KmqyrgB6PfKwKtsI2avhLKNeWmiFSz9fLOpeWb51v8xflU/vfsxkvPmLt1908teCrZLH9UykYCs2e7+r/n8Hp9KnxIn0aYut8XsPJ8N+INvKfFe28GElx2MZ95Z4PksV/83pYSKxxa3o0ZCzis8G+1DlzWfHGV8PAMnnfDkpM0fJbTDPlblvXg8ejCLJuphzp0wbmefkqcNmlhf3NZxD/6HggDlYhMTcRaUAE1FTen/M59tYwJ/H4zvsTu+wlo8aZgDvQfT/A/XQI94RIduVqQaCgBC5LDih6GW10opDzwpodBhqh0kGyu884Uom7C5h4HZlA2OwYXYGJABqefailhY2INRWEwyo1bPAIfjkscrzWFnhhXIEBteUxN4Ak61pVngrBejYKKsB56hMcZyJFgqhyFgkVBAvPNnRXlohUla3O1OGAmXCkulztP0ybsYr8RwaEUBFWUxiVQvRllGjhMiUDV2ASaAhGcVNKF7wLDyMuigAbFUhbQXoVAbUT2cyUHpMAk8KZN4TyiyPC8AR/NcuVN0VArL8G7lDc4jLGMg8Gg9VgbIK4BOy9RlR5Q2L+7byD4DNcu/gwrhc/tSY9QWcd33s7i1nvnX2wtlb4uUvxx/TM/6KiHr1S66+2L//mV+6+6rDr5ifqJ+86Ff/dpGGu5EJkmSe0OmE9133SwOe8fygypylHh1hzorBx/OCF6wTANLpHfVXn2j6U3JWZrs1YUITdQw8Ys4ri1yxvpCX8Yq6yOoiqS1WC1wiznjEVisZdPYWSp7DIqUEWAVrZU6fuFqt/hH2MNU76IKbd1DLNAvjqLD8ivyDeLzCu6LiuPt8CopKNVb3wtudka2Clb2lMWFY6FqYGF+FCkBjwQuvwuSy4txnefaC/BVxb6d6jKbDEBOG7V4sbFMgdOUkMdExAR+hAFxMsndA3N+xqJMsG6z6ULGRAk4CeAJACbdB27AtAXYVr2CsFbNN6rd31Z/YVuDlyKAWBYBjrCkIiWt9oaxSOC0IQu0a+fSYAJYK+bxmTbUpqbyvZ7WzwgrgwdlX4l/f95rYI0NxmycDaIrVs3k6E6Tr7RyAKqh29JGhjr7hzxhn0IEJHDHSGoDCjyFjzqQcVgUvZALvJg4BTsB8eTiv+/ODe1Yq/znvdJ87O3XVZ596yVXft/PuO7fGx4dHQAfPvvuFL3zh4VXv85xfnfXXvFK7+XNWk/G/DP2wN3p1rCNnPiGf98TBqNXFAyFEBfrT9VOlic97kgpzKG+5DD5XnVDhpUWZdAo8nhyd3JQBf0QPAuBBqQSSyDqdKJMiWpuVefJ3eXTugFf7e/QFELEgRhVTTZmcJinnzymlfAX2O9E74ErvgDbv2+SLefiLUAdd4c3oVRWUTlb0WlVxA0cMKwAWpyWAo+KpGGjE1qEcUcXbaWmUE+hvwNm786wG0H2qpMxEhsGKthGoEmAhT4ZDwEZMoibsmYkHxhnTXsmHeqTZw2mg420U5b3SpI6yCYWgvWQrdb/04fOkge3SCn5EmxPAJvF2q2YxMgwUwLFeFMKMgSfayCmBRQk9QYGUFR4jYNMUCK/C20lvnwwwFVlUVrUAgISSDbzBK05j1SqsoeE26dfbQQEixUDZwSTnNXUCD17Dpkw9YzR4GnACEFVG7iQjEgX/EmPCJiTODwIqeDNCR8XrYG+jKlsD7cPkfKyHFy9cHIb5jx0aQa4AABAASURBVJx47olP2BpOf27/4lM/E88PYIl+N3eTQLCl3HrZ6V/c/iPXfG6cmXw54POHdcrKFIM6zxmLq/+y44pzx8LZi7eoObI6vB5Z71gcVgaek7PLB8xL5reiO2K+aEbC8xTnPMW6yAIY1tHsNiaKnFTRpZEXKRUvx+3Xi3OJrbDwkJNtBBJarxJ/T5L/CFgQPqk3KvaktvfAxv4yCe8HPYY7GHZuJCahcjBqD6YrSR3/MsYYWGwdkkYEaOGGhUta8NxAhTONsnegg7vOKpPWMyEDW7II5MddJNGcWtjRDqtINdAALvZkBNh4FXFooDH4BHnBxFfKRwd/uZcylowbmyBhoFFpl0a5VZngjtUo27Nh+zJq1IAFF8JKzxEVgElwIkXEvWRQBGiDsQcgIsYixhBWIoCmGkwBG4djk00BoJIihQQ7gTcTbdvUqdiTQUmDA+O0nVUBHTk+y3KZAIyCMQVKCQMKoZRgSAU4g1D0mdi+VbybgneTeA3cAAfwMfCNq6GuhtX5cRy+Y/fq7Y/Yfdm1nxdXTX/XxqXN9bASiIj55D1P/uDWtdOPLCfyNx52i7Mr3jDUrqhHl/pBGg6WeD2HKrxeF/qdevSNuUp43eM2i93JqdJVu0qnt+VX7P5emDyP1C0Aj3cFA4seqoReJJUuKaPDHRToysAZjz2ecn5f5RJrAzsCsVOIIvRAvq6pQ/1mIs+HntQ7Pamt3acxPInrePTWCmkRe5ibcvfPwXCFF1MwtoIrOBJmGzRgg72qYgwVIzQgJeJhA8EIC96Q40Z6b6WWF/YVCH/iCaNNTFJuoiJwAQg1MXTAI+wReCLwaGKrV9qaSpzbGGgMRF5hKqCknBV2U3OnCAw4QkEYNlTar4DFAFAMKgra6zm0TbRTYLqMK0UqLqlQvZfslfDse03k0U7y+BrgjKqATHOJ8WQMAsH2yVusAgAN5LFOSinUMQ7zbCCprIiVYWiW1kAzo1fiIj0MRPZqGL5MEfLleWhgUyTL1X01JaSfwJsqrJ7j4SB/a3n/YF8Hq8M7V93wz7XV/8k+n/7b8fyTb4qIwW1t6NElgKxqvPDU2S6d/Nbtq3c+Y9iJ/znvVmPJ1E2Z9SMrhtB4aakRYNBKSnmiyJ04E9LKc7gzVXf1KSXebK23W70SOl3Rw4puVGynYksVnSpGnyxFl9ZlAp1gIa5s5wrnO9o7lHcGoqzVIiUKpPiYYShfhm50ehIvt/8kNrduCiYnxHx47O0V0Ye/I6JlUkemZnwASTVKE2ZMFDuWLEinDUUNdACaykoshwjYWycZpC5c0vLiJQVbjh7ACcpbkBnA4FElhRrwWPh4NxUysIiwrRYYr7dE9ngqYFNyKBLGG9SrsBqIjGfxLJGGkcKalvAWBpvtLWna0U/VCKgI5gNKbAFzVNF9o2gDdYOQy4EehTZwHbSmkcNgIIz9tgHA46gA0QiQDlBhXDmy+slEHf3WLhR4VLKXs9UpjmkGv4BNYUZaPrxZ8ZQl2Nflq7FR6NsEmtNH5Qyt8mo18Kgych4O52Uxn9+hXL53srP9iq33vOpvTl6089p4SXjTdbmpTeTKJWDZxYtP/MrWu1/1aeN2/h4867PsZBXoWFbCUw8Jz3LcYxvEHKTcq2e+/WJgRD8rXk86taUE8IzMPxsAWdetM5XFYmQxFsDTOMpJnnvnRwpArari4Yx4Okve6g7YjngWwOPykdRH6Esk/THoSbvTk9bS/Rt6Tx69teoIr/xmsBVjMlloCUMI3JOKAQiDbJ4MQOQ8HxRXwKawEht4nLfileDy0r462ph40qBAuClnGXDkEHAxKOTpRIntRcazsUdisvsZ5AerRSPc2Qyl3CvRlgdSbamR+EzMTVEhMfGc8ZLcputVwMUrS2LGGuh4lQkK8hzKEsq0piAOoRSVcVXQy8AivJrK2GR3l/FZeSrgE6x2QYeNGEsHQEYfKjRp76ZMk+qUZ6gS19E2KqGMmXGpo7sEwR8Ir0q/o7+CgLwKfZnsWVaU3H0Kz2YEcOYHhzo42DvHGdQP7D7nxMfvvPSaL5q8+85vxcazQZhPzh0n4s7d9znz1TrRfelyUm5coeSBagSahrMsz8MScBDbrphMZF3L6GawnRbAk0/PNL3qpNLWVEJ/E9u08JED+hPoUwKw3FZbcHNSchk6CHQu8IjcrgC2aq+HhcaKjTmK8i/AGfi70OknZ6RSerIaOm4H5nrinwE9D7r/XXk8JqKXb0YXTkcAuAzyAWn2M8bQwMZG2+IDr/gGZQwk86oxsSRkoD04c1ie29OAwLqalKNTZWgjSFMIC6OsCDpY5WXjI6xbAJH3xzZawMfpgRGLyVCXFJl86pQU4mFNnkgApspQUgUeKrpQZhvlladGwZAH3jtWZXGZ76B+NiUpSDW1XOI+WcaFFsphgBEKIrZP6BtjVKPEOUpy2qLihYzK1MmsdBlAEeAyTuBmh7Z3QBTGpO1OCQB0WGahyvgEj0qUMYmLKgnefP4Vo2RK8NCtMn32Elv8mIdiEVpx6Dj0+vl0avopWy858yVxzfSNEQxUm+vJlgByHfOLtn5i++rdT8on8i+WbIOgl0goXFLB2RnZ5hZ/2dJ6D/i0uUUPtJUUp6bKp3dV/FtA8rp+pnQopUsjdhMameMBnV716BKUAazEc0IHtL9UPjdX3MPkX8BxZddAz8KEAvooFX1OrRiXE58gpSdY/6Gqv4jEz4ewKj7vewcPx0S03QULwAAqK7mJwSmw5nZ2gzDqiIBYkY92IBoBnxGvp7LVSGyvKii9wrtZHc7VsSpkQIYWxQSqJozOBt9lGVCirQy9EgfFJoNQP5koO50yVFJgmPclEoSwEX4QTZLbjJByUmbL5rqOU6gNx327HVPQVopOgqoVR74KH5RizB5H8bjxao5DEQ9AprIy1TbOQSNbr8ECMXgAmAkS3kuBDDCJLVUCOMNKBAVud1A2d4mukQH8ojiNRbrFQ0u0mdimhtKQARf42VtJ+6v11+SHlfYP95Z7w+GvTLZnn7a7dfrTt9/t5GsiAm3U5noHSgAZl3j+9E355KlPryf6b151wwWxKvT0OVGS0I8V3k458kbE2ymhh4U5tz7ELkDjPza/PVHJoWCBGsdRI9usQJ9SIa0mWspr+0BHakJHsKsVRxL+jVbFo/Jr+4RtdaiGqnaryv8Xd/e5sPGEb0bxhNt4YAMfT8J7Qw+61/yLMRwRFlAMKAjFBiYAKGyTEHJW5bkiJEG2ORlkAKEwUaYgSANOwf3vB6nHsKvbC6l0CNL2jmEGIOPzGpMwzjV1lEmNZMDJFGYCAjAxiHgi5PYAjnWc4XhyoES5xGSG6wX90KcYCyUUQefriNleT+xR0trwqyoLWEEBKlsbg2fFcxOeTAA2saQ9Xl9WlKtABpwSVcnjAFw0pTGvang1Ca8mcK05zJUp4XGFAWmWJMZvNswXPWqkc/RKYwkV5FgMavSjwwLYjAreThWUbnm4XxeLgz9Is/x3d19w9Z/v3nPnv8bm1XcT5TvzI54b+13Z/T+7M9O/U7vhTg74AAqBPyHvBAbeahkYxPQFL0E0marg4ZbtJJ3o8Xh2eO7EGRG606sy+X4jJnQqY0+hLKHb1v1Ap1npVVnIrQPl0p7aNovtlvuiRaHY740H9ekswFTUE7pae0+ohftUhqEtHj8dMjATPPhGRkegU9VsdayqNjZcPwONGLi3GhXDOA4dL5SzsfgsR6NU5wsOjPdUDg/V0WgPNcBiRMGWImykbJcq4NAEz8SkrU42TGGcxdssg0ajTupSm4Sa1yFujNbxIISYmJpDQX54so5AhjFj14zh6DkixAQJG9e9F20qMa+UA2DLiPeChxPH2ymMP5CBFkKpgGYAabQcaCrzqjQDmpmtYOVAWNA4ZfwGFsCnsL3yIbH8fLSdqqhFTRIditbgj4aI+DeklT4DoMmHozKhCCtnN8vDeZ3P5+dxv//F1rU7H7/14tP/NE7G3dpc7zIJBAf06YXb/7o7tfuFMUt31jRWq17PsUJiHgc8nhGyTST0JKHjw0SyfgQeTz65rREPKMjLOTfdKpQP6gbAU1OW8PIrup/J76IqWAhL+3U626yLKCTlC7qKEJJSvJLQ57UEj/9Oj7/qQ9b8UFI/DGq3DbJF7vPhDjEBVVb7tcfCQPFoLIQYKAigiLwGPgNGigEWVuUMIXNO86vECfv8wgXAaskZB61RPhCajc3gURDiGmx6eeUv9m5muJN4ARUSgFMhAUoWujJtACZOt6saGRACZBIzHBmOY52fclaQViMAzKICgIyYNRyBM9GoUk9QREhBeZMC+2csjK0CjmJcVprAw/EWUYwtSBOr0ejXmABsjkT1LFlp8HAqAFPxbsTZTca7iW3yeE47vRIejwDZmiRB5kd0VEONT4N5AGr+28H9MnNuE0r7MIJ3Iw6Kl8vlMI/yc5wlfMr2S8/89bh257YINFCb610tAeah6IXTn9NVk1cs+/L7Bacl0NfM9CX0qfCGccAjse4k9HnC29PE1sovEtLJLXWndzSSXv3t5uhVsLGK3nnhFrpsCsIE+DgM2yLekC7N8Xb2oQM1XaU/VP1lg8rnYdfdE5FLeiKV71sXRrAC/TnSroLajcBaeO8H5mCPwCDB4ER8DTyUIE0Ym59FPOwG8ex4RrjBoG2gI4Cz2AOFAaMuklKELLCKGIzYpU+qAEoFaAKPRqB/4ClUBC+8HoOMyxlMKpPXKIVaSHtVxEOKaB8tjAilhKgI5Qu+HZiSQhEhJZ4Ig8D35SIeJ+OpAErFewneJMgrDSBTCSv7ZitMdRlATMyst0YJkAxIgI2pzDoVniveTMGrsVJVzm/EeEumVgLU6Nz9RoUDI07zHpMSSpaXAmxgEmUSh8NaDBoPDurBYu/G6NNXnTxx1V+MF2z/RoQlTf3N/ZSRAHNS9dzt/z09Pf2iVRp+p6RBgX7nCAU65IVj9LfDB1gGPBKezdgLfWG+T/A6/dSOKrpfUkZNswbmvgIsCW8n0QbKrWYPnVStPFYi9DKsJwa0QzwenlExlvP4THp5Qt5OooFHuB9Tls9x/GtyWH/oenFsgDYujFAAR1NxAEUGmGOgIb2QHxhiEJbVSrLbx+DLASfsCKBDfBZYTaGK4Rlk/GvcMMiYAJoAaBKeTWCcBqOCyI4BJzITRt0ATGpGDJEADxPpEeKhUZCeKKOjC3AFK6siYk2kB6T2waQR95ypSua/MhZPsF/7W0H82jsxHHs39tw87jXgFEXQCGMJQEV4MWFvpgGNvbQktfReAQCFx4XiGXTEWKjcOreMw54TJIDNffp7HmILZaqkj7yZWC1XF5Yav3f7mpMfO33Jqe+Jd4t7tLmeshKIiBrP33nt9KrdLx6n6XfGPJaKSuQIFhWmnjmtvNmyBxP9RIkFd+zRJ855gm1W2tlStJcm5EWHOeGpAzzhBR39rtiCbUPWKeLCVitecGGRquctgZ/1AAAQAElEQVRZ5FnshS5H1cs4R3pCf2kQtvWELwyxp5EvhPzmiuDBN2XUBgLjXvUFwNggbXSOt9DAY0By6EFTJqDsVRsB+ZAr4S1MEHROSU4uCKgg3AKwVEBGCDsBOI1snBYink9wdmNvRh5xDgX1DSYO15Ql2gpThNb/KOxOjobTDqkraHL0HEGpIxKhKeI+aYyhGT5jCsCzssWRCc/D6YV0v42rhJZPhscMyITBBd4FsNibKWydgnRxJrUGG/jqIG6FZI4KAG05ohRCKWRQq5wVaY5WoTwNcFDMQ97y7S8O/3Dc6r9m6/2u+ZJ4/tbbA4U+GtImeIpLIK6bvK4/GV+86vTWwloUHAUkQCTVrJE3WsXzHaGELdgGKrov4gaezNZLOSsgv8AZFkvZBq0zNSdV9E+UT7wNE3pffJYD2IS9Hc55hA6rCluvny3pwV+JIfFKbqvtlZR7tDIvpID/07wp4eXbhuQHhybHA0BZUxydcxRVDKba8MgrJoCm8izSxXPFWBacqBfOOzKNVIzZ7Vl4GZAJQCb8ZT/C5GcbJwhvwQvjDASa7HYi7DABOBH0Hwy/gQyt8iwTeTIFHd3n9iSZ7pOkVt51xAXPNnrz7YksgOuAh2aeRzyzEQ9DpFVPXIsDFYBPMBY1/uAB/gXAyEDpEKDxN4uzz3AYT4fyqMOzAzQF62yomuxSkR8h2mBLVWm/4HYn3oQF2yqDTwG0Dw8OhlUpvzA9deqTZ+954j9E2O+C98399JLAtTuvSyfyny+T9PbirYJRg8W4QAMg4fkWAJJ5+RAsxgWY0PZMweGyAcgLdU697OXYvpIC3YGwjRqh0vQrmm4VdHdgoVrtH/LSxtssu+l6Mbpub6fT47jS46hzvyoYf0/C56nqBYQPvm1UUAAgNsaoIRtJYHyJU3ivymWUagFpMZhCPrIjISvxnOZFZX9BHMOKpAIgNI+GPWocGycGGtOkOg2FtycAjfemJY+gd1FgizUIkxQp+ECgQXniNTgrEWmIXS7o0NTiunylCEW4HqwlQuhyptPZH9dCH6UyPohBZEDF51CeXJOQQSJfeEuVfCmUDIYApfxX4nZgFEWpkACawharcKYzMi6hPGJsoojZqxwUi7aCMACzto2yZwPY+C2Vlp3qAUvhIrScL7VYzW9DRn/j1PP052Yvmr0tAoHoaX89KwfA3NXpdbu/G9v60tV0vKH0RYFuZPQpGxPYZhksrCeaoLdb6OxspXoyVE5PFO0vHmAMFR1ZJsCk4gBkpURe12tMIbEQirCgsyvOgMreQsW/SKdttnC9In0hwn9cPwZNVHyi90to4C8w3ge3BYDYEIUxFgyj2mthECKEcR2HFeOppJdxJK0oAUjBeYQwTF7lahhWSkZfwERQYsUPVv5j0tFWJPksxwZMfu1DNUIK2EKAKTElKSmCNIUCgYbTIilBiqAspKMLYDA4XCaSI0LpqI0Ity8d12s1PQ6ApuBVyMQ4Ks9tS+XxFMljrIy1UiHgwWMxmATAKYCzEQpk/gEJZbZYifEl1pSa1K6gH4NXwGNtbUoV0JP7YiuVeBWe7GYvl5rP9zWvq9elnf4vbb3PVd8V1157qTWy+XjaS6C7bueX0mT6Datcz9culPBuxGXPeuXv8eDxRu4UkymLb1LFc847U3W7U2XsJLdtlDSyjap4NKFQzlmdF0J0MNxmJg17rXhQYvGXw8UQKvW9Vcqn1Hqslbri60iNr7j8/QrSYSbBP3kw8Kjy0IgP7AFLEAga8vcIDDLtC362NrDlMuAARi0fo2meDSfwHWUS6QMHxxU3yIaulBQZwSEMezrVBooQA6P0waqIO62C7LWXhLACAQZ1AuMW9RWh0kgtVNCmQoojakxLOg5blMEQ3nsHxePeR5eFDJzrMVIesPGY0ioUjMfxQAEq6SOAM9aiMHjizYjzm4AqJN5MVUh4Ny3dnhxeDmzKnppUhEAJ3Idkj6bgIY7Ia6D9YtBZSv57KpovVIaDee7rD506s/ups/c8/XMRYclTYHM/EyTAfJb+BbPv63dmXz/2aVFyVaDz1urCW9LKGY/QOWEDmnQq6JywE233CrxooV+BXQTCGFngxfFFKMvAI+qM2FBC+fJYVfCWi7dYBh5e02s5TFHHL5P0mL+lnKj0RG5vqT6NBnDwarNV7K+FMKQoVX5wmDAOg0plACJZhaGaMJgMWCbSkkJJwlAHDsXYQ66WpJABtLW9K0CTWPWFgVaEV0Hr6mcDjz0Fezc5VBGYOiohUKWsGiZYiaC9pBQdlNWuY4bxxuoxkQagip4l6oirPR+nk1HhO0qoMB6DSeDJFIBSrBqBi2tqYIOZJ7BCgE2hfZpS9koC781DAyQ9HlNlDAVl8Nj8XPqqMYoqDdRKI8Rl5LZcTfSpRVWaS3mB5OaUxcOpbLGW4/JCndV/ONm+6i/zKvwm97uhZ54EImJMz+n/bdru/92YtRKGlLCBmToJPagLVr0USpx5BjuBAtAIHYudXgYioYtKABK6W1i48F5knU9dKKDEIp9Sbl/A9dssfwu67h3SNkpe9QEa9XF6jBea+hhr3L/4n+bx5ZCCfw7XloqBVyzTCRidmoFWRRUyoUuMVTYaKKCKQTpP5Ns4K6g6gro5J2UQOnGekXcmOgacAHASh67JYINQAGfVFFJACkUEoJIUKYsPKEwKkRZQSlIEeEi6uOC1PgSRc/mOCKpApAR8Nr4NIvC/PiTG+AGgtsUxGHjcXmXIF+UMOFRTNt9tawhveDUVr6YRY3IYjLV5OwCQJ51u6dE1CWjL2FMIEZkqb8KyaV4VvBIP4oeLw7o/zn8XMP7s7j2v/qfxNP5fFhjx5r4CCUTEIk/yq0oXPz8mNLmpNx/WQeuk9ZBHn/t4YavomNhmJbZZBYAK3lgVbHQAeKo9HtsJZzvWVWX01LZlPjj+GOZ40N6B2NsZxw6D/vN31XrC2VdKsHKlRe9fbj00+f+x2naODVGlGm0a2ShVyCGphUQlG7ruvTD0BjT+aOVYqfEU8JlkQfh7NrwJlEDnCriMPVWJJ4MNYCS8mWBfGg7DgAA5dFsm4nSpRgjyKAJ/WhPBY77drseF1VdPJpMUkBqRAeBUSJ5sytp7Wo2DKpObDDZ4ZhWPzSS2TjLoADgiPQw05AVjXfMMd7QBOuqyPFEkb9HYdaqdF/nwGO8mWNWWi8WyJv23ybWzz529pG2nlrSwuZ8FEoiTcffsRPpaTeoba0YPWbATC2xFDwcW8YquJtsJno2Bxvak7U7+ezy1S83e+OR8xwpmgWUpdfKWzPlyGdsrZz+Ft8kF8LHOl1I+9rSGj3KNK6V0pQUfotxzSPtAqN02LrEMO/RAHdrwKsbZwAg5+G/MGFDqfcDJlVMKQKAw4JWGMoidmDKgEiByhXxmkzDKxFsdHx7LoIMAhWCVQxFQSoqUW5yITBFBu2sKkFxclpsxTjw3Q3bCMZF/fEdQ794Hye07DRBwvWAyYVZhl/R4hTDYDKE2bsboH2uOIG4AIp35Z5IDkBFkr6budMIjUTIYeZyTXsGYQkHPoWoea1UaGdsYbDtDbju5D0BGK5ihf69OCxCndvU/7py86gunzz/xRhrY3M8yCcSJ6RvTJL6hTuo5JQaPzlZUZFytNPJSgRR5a+/FvGBD2p6oO7WFDmYldK+ibwOLZ4GEDgagI+ys4AkpZ6HKEnmFQ+qBLVZpX9Qdz6SS/GcvOl3hla6w3EMV8//wcDUeD8ZRYVGKSnhETgcFVTC+wvbCz+I6DolKUdYkxoM3MEKs1GouIB6NQOXEdsSoXDBKQZVzG4PSCNiYHC+RtCYaIi6ErWBoNdZ8kex+TVH9YKrwHar34S2C8kdEiXZ7JyjS2gNjk8lACsAEEyBCg0CwQISBwe0zrIIrMuCOFuYqs4cWWynhyRhEC+c4Dk3RxgSvOalSFnYEdkM0RD9hBmhbbM3ZP6uyhUqLqo6DwjRKIyvYpcXh3jDRq2bvc/orY/PN4jZVT8ePJ4PnfNXWfwYg/rpSLIROGSuSQl78KzojdDn1E+XJREOHzqF/Xsg7QCdjb1LSit2G9ToiFOwkbH+JvD5ndahlh86FD6nZYsVySKnGJ8K7f5FA8Oh3evQiDy6B8breBxHOnEvoQAFDzoj2JDmMCEVABgJJ4MBlIoMU0saVVsNCkYoyhpmmnezdaJqUOHDNW1O1A62O5y4rQN62pUKoMho7hCJxYCwEqWjtKhzCkZGMlHBYiTQiD0A85p3UB922d49JAE0BQEao4NUUwKAMAxNJQ8TDSOHCjQAznu3VBcDZ4cXIE8s4YquTeG7jY5yBB2QQDQA0EooBBwRNjgK41oAD/4BLhQTgiPO7AIBiGVodzrUYlzfOTu58yc77nPnnEeFStLK5n60SsA7k5bkf0SS+vUZhSSxYRCis6+iq9UpWMtsLOljQwW42VXFaSpr0vVxmsH5TR6RFzkoZu6NOiiSx2BZAp+DxVEjL4TrqfCm2ROajS/6KCj1EMxnv5X1IT3REwI1hygwpYaNV2ct2S8YIQZqq4InubPiUC4MFAxIewbhaqM+hjJEKoCl4Bc0b4C2VQyEc2eNhy1Uz7VM2Mi1GUZMQnw1Q6CMiFBHiQ1KWAoInmUJq6c2VwD6pnyjjunEUyuWOKMFrMK4KiNjLSEMoraTA+IN4ZXtjABpAfhlw2HLVNlGUYSwdryaFl7PeSoUKZzjB2LSdFWyxUAwFnpsAW7RClGA4I1HGRjuVNhv5D21BWoSS31IthLs8gkP1hjTTF05evPWjEbE5v9HmsgTi+c8/0NXdN5Vp/a+8Sh8jZ+yxU1u07O1USgE2CR1NLIjVZ4q7vfCW5e1UsNJWXuRoOcomGlQtuDgF+9NkQlqnQOf9Jkv7qN0hyjlU/zTiGlp+1Ds9aomHLjBDyV8K4GCTBhWIch6LiWi7vdorQspSTeSEeAyFR9KFSBXgpWoQYUAJFy4c4s1YGJnnjNsnPJxI0eoK0HFccF5pJ8LpdEBrUoij6Eb05uYbAMKn2oUh0+HltIhoyQpKA0CsDDyXRm4pSOdWxbsRq4QBpgIscjuEzjMYOY0W6JfeSYxjvgHLYFKDyTVl4uqzHG+eGvzTmSLMR8BGwHOGaI0+Kn2KyS2sLOLshg40DistVvNxXlev7benn7/14jO/ErHxcCzHDd0rAXRinrvp38w5/7btSuia7aDgrXuht/0EwCPbIWHmvLT3b7NYBLO3VKjgiLdjnUs55LTALgM7trVXFmJ/obDyJksLgGccn6elPpE+UGI94oXpPmL+w2Xu0ri/An25A3iEP4xOxAKTTRivAQKG24BpKeiNJIyMMhwYj2yrcCaUMVKDjb2caEbZSQzQZzotRGAF0GHhlwjFs1KmnVDlOYIw6ODy7QcIw20AQXoQbwCH58LjvTdCFEXvTbDNI1aXw+hdR5zVVOJG92bePAfeW7QwUT1p4DxqqGy5YN2AGXgyydtE+IsplgAAEABJREFUxiOAdE1ZmtCTZWJqvGcSaIP25AEimur4IAWA01YbQK8SH5HX0v3k+mvd1Vuf279o+9e1uTYSeBgJxKl4y9jFq1hMLwbgEugcdqvSgAdFszGyoAugEQuijzS8YAY6G4FRjNgCeqeKfuZe4fK2vaiKwOawCXtEFdCpq9GK7N9fPuofcE8Pw++jJZ+IiF0XImwMGAzCDGFIgirxxCDlQR2FjWkYRwga2FZVyokBCqQVQmll/WzAwSV0foXDArnNSFlFDBZy3wydwJkELQ1B2WALwqrViY0CwLGwzWtLuN8HAIMQK9SSXQ+qCLRg7GWF9RMGnkYwCUG6ae15UNfdBDzlKoNN5o2A2BZqCi9srYTrGkxoAx22jm2cTE9j06sFfTEoHVMtcAGYsXcCdCT3Zf6LAWe1HKJPr06pfOHsutlbtbk2EngUCXQnu59nJ/E30LulQSdsLtiDOO1x1dS8cFZKvHJt9zL4+AjDB8jCpvxN5YJXr0xFbDJYQAP7zI7Tjl+fj4dLDQsOGcfxI3jh4RdMeqSLlh4p+2HztsiZRGBYRCIIueXWjsiDM2CYAtAxKbuw7QuPCA8jMdAAZIKBiMGLc5sWGnkBIYQlGZha+0nVcQRhO2/GSZwW17etmIw4Cu1oiedG6xIP/RnHhRyqbb2adwS4CJQPTw5Cb4BDvJLmdLuXg0HDHdCGASc4JI4GNPAK6JQJbRpo8HjWwEo6smjj8JiOOWpAw8NRWN2fxwEPlYmtrExDWS1rr/80u2b3q7bf66obKb25NxJ4VAlExJBO9d+LxX23kuZqNkQ1L3Ymg4ltDzv0whhsswI7zLzhipRlXWwLog26w4BxIsI7E5wKjEXNFvw9IEir8aRK+XgWeKMAnTz0/YiZD12lpQafJjEootwRSjCWYCY8MFoO4iknBQCSYJbTLNVgC8L5idOq0/Fygjyjq7+EVJOkFJJD2qxQ0I6iJZDJXYMPCKExQDUAssFi4yINDJAK+YACQiDJHsmaYJi6996usn4KBRHXNWAZZGTjd7sATUAFkoGHdmlNgqVCYU9C8vdwIEEVT8eHx23VAFh1BKIu31inHx13bD4ddz8QolFQyD/aiwiNbKeWZXkhJvqO7cmpr4oTcZerb2gjgSuVQEQcpLF7VXT5x5Xxm4OaY1GBUDXJ9mbQwRblt6yAjgxE2CUl1RZabEFYSLUtuqztWqnpavVPLfB2ONtBYfWpks6Ij4e708NlPEr6AQNZQDqmpLhcxWkJ5iKqTHCmijVVznGKRhlwOhhPOVrc4FPx8Arej1KISmvi2W0Fbbk9HV28MhNIIoMNzcpbERlsMOCAhPH6uRUnvQIStKpjaun3/TiqU5mEcF2eHQYAI4AmRrrD42i/7GZM6/EwtlwUeDSJt1GVbZTwauqUsgYdwKe9uQJ0KuCqJNiq617hqfFHmwFVT6izCmUWo9y3xeDXlstxdbbbmX3V5Pmn/k48Pw7WDWw+NxJ4bBKIq+KChvTK6NKvBPbkxbpgF5ijFCgn9liyJMCmWo/7kJ0AYTXWz3EYpRQSQOT0xO4kc+CcJAU2kuYcQ8x5tbtcvZw2P0aPcLnOI2Q/bJb/PMLew+aS4UERqFkQVlQ4ZB1tbGY80y2uWkD16DkQhEkR3PeSnE+9epnU7JUmFaQJo3VCM14LkTTnCeBwurgi1u0RfdAdlS0PdQxcjXgNzqGYDDZ+ls9XaNdx89AaME+c4QjA6XBHBcgkJk0AT7CVal6Pz3FwQ9MR4LQVhQ+6kvHFH3HEo3HM46iAXkIO4nWlgXIxLO/IW9PPzze84YciDH2t983HRgKPSwJxOs5hc1+TuvzbykmBPoqFrjVmvTOgcKxjHQ502d8xy32vJLZZKKzVVbZZ6zRknY+c5cU4cfZZvcUaxonG8lnYSrR2H+IjPUTalSRdpNANULMfwgfdEWQlyDlYmo1IwQhJc549HxE3YVAShhwWhDmCnHZMbsKUFC4O6qhd0YQWNEs/SMTNNyE6vZW49wMh3Ptwn5i9JVG3Al7ePhUQvYUAe5AuwpbPGPwVAHoSbCixIuQZr6KYpPY1TQAo7J6amDxB7fViwG60WvIV8OZ2W+gE+jU4Vhip9CEAjhUIdsrvTbdnnze9dvtn40M/lCXEhTe0kcATlECv1yvSVyulm1E5CZMET6QkBToNKElNh3MLkxfOSLJNoJSUSwK05PPWmhOVAvWt8kLtQ+Vq8BnGj5Tkt9sED76p9eDEK0hZUOa1kFkm4L7XrngQjMCMDRavq+I95CE40smMLStiTXKYsVoDTsB4FOF4MLCQSMM+aYd0ImQBLklBAVqiAwRhL8R9OM39Y7SFt2IFr6pCskFrfTk7UpIi1iSaMKjAnxqFEu0ZZIIw3C71k0in3RxV9lqq3U4OjCtU8GrUtlG9KlusMpMKOFS7KncjX9SlKrEqeZbhr4WkN/7MAx6Oy0QdOYtblTHV31LXf1F/zdYvRnjkVH8m35uxvdMk0PRpS68pW3plyukOvBI1PbRZZD4mgQ6HgrMdsXCWjmxAKLDB1N7gBrx2ql2vEdCpeD5K2CL6XAw4i5ViVa4bx/GjaqUSpR94pwcmXOGzTfI1lF1C69u8rGOXPxlgiwf2FpHUnmFUUDWomKi3jq+BKCJTJwTDjJZMDN/1RRtkADpSkCaM1emUEIUvU3sWj9AD73WbUtQk1y+8Faqcp5jE+U0hriLV1j4dOhSXG4VXrwKVifCKILZPwWSIM5uA7Pk0cloEzVCfqg95V/IMQMeZLs/zKDK6+LUyjc+bXDv57ePsTbiRwJMpgYioOeefxGP5lsiJc0LrI4RBFSgMPgYTvJyY9LLey2Zpe8ATl0LUVeJIIWwPKbUdSNh+VqPKajWLsfgvUABZetCF9T0o7VETzDSFfg26FXrY20ZeMKYqDwhjxniJyfh3TAoS05rsiUSE2r8jkApCuZJ7wSYbKh+F7UzHeRYGae7PxYIPk/sg2u72DKC0tiiLbJV5DguqUVHgcVTg1L6FQ5BDrT/z50nw4RkrQNvz4opqFgrAp3k7XUiAqZgAUT4iWr/+cF/u16FTTcaXNeHdkVlUFpH03f1k+udnpzffwbHcNvSOk0AE2niTvkcR314DbccmiKvpbs4SHr3Q8QBYEgtpoNcjelob6Eh+TjkrsIuE3tsWyzD4+zoqy1XSavhYSddBD7rTg1KuMCGivbr9HxS32RM84CaVs4mWSBR2pZpCBoLLz84NPpwo8oiK8LgQeEUlQdQwsBgUGHQl7kG6qkMhMKeJYo5T48E3fbi8y9WhSFDzcGirfdGPsxwBPuE+CFtbEY3nEYFXhO9JaOTTfc5wWhwvRwDOvWMzE/fp/ujRfV9ONb88FDrxykJ4V8r5/8oH06+LzStxJLO53xkSiJfEQjN9F3399+YYEBE26m1VW0ABlLWOG1ySMCHWYEp6VcYmWhkDDuUCu207ELZYsRy9xXouxxbv7yYfSI8bdI4a+lnCQ+hBdxylRISSGXRPxHVEQZpJkUhKAAs1GNUx0Dg0QBgIHLfX0Z4xWEZOeTUKGzVp1OaZB+4WJ/ve2ynBtgoCb9xmAWQqWyqZDGSAjaAKiQ5Bf1mogUCrQQZwqSC/jr78F5zuh9NwL+1brscSrUuGIQYlX+sUx6QWh1e1i8mTyhj1raOGr0y73TfH5pV4k8zm450ngcB5iEn+26jlzVAV9ti+i5NZcDN84OUID58yZJGGITbNRZkLZlsAqZoTeUmqkl+fB1ssaKJh9RnsPsjQ/a4HJdwv99Ef3kwRvz4nuPemIx17ORFwB2M2SnsD4jmCtKPiVffGWx2DwtpqZUA10ISfKxWQij0bk4i7HxM5PLqAFOH2TLp8gSGqAIvswdB+jGRxeGyvJvB0skImx2FVQiqB96Ie8QI4eatTQGI7JZ5NAeAI7yc8KQAoJdXYDLXLzy3ygI+gLN0pIhYppZ/u0+QTpye2f4xnOHpA4c3jRgLvHAn8Hrr7NzGpfQkF5sYgpA6QYVGt6Hj4fCcnstFsCirIw1gS6aKMbSGRbxsSoKMVh66lfoIu6JQecNHKA1Ie26Prm7Q2ecAOI7a3YDDIMIaNg41q1JpmQAywRaVkJ0EuK3hck9RAAoBwenW6vQ9Aw2DD7nOdz8DbAI9acuB2G8FNq0ui6zte3J7BhrYq8cDETX5b5X6DAURYkEQ6KvbwwUl+eBs17RXt7IahziADDx5QmxiKus+IIHb/2+mm41RaVql1b6zlZ8c6fjZt/sWYxduO8zfhRgLvCglExMjB8o/S949AlWcJ/Q7ARpMkhwEAJch5pRb0uCjlrMrCa09IlE8sqM1G2WL5u2aAzwuVlw/6n0ATnTyR+z2ovGOjNpkZcFBmzAwQ4Y5GSg6lkJT4bGUIXS8q+0WDSCWzESVIW5fE+MkzMMivskExA4TrjaI351FNrX1Ag7ibUAR38HRcv6qUUYXtVPV5DiBmANN9QLIGjSfK54owIQCnba2mNGMA8vbKE5FpN0uBkOlEUXmWlBT8I3L/eyT7Llj9VcJvSF3++HzPPZ/RzWb/JSL8faf7l948Pc0l8PRkH11cYrOvqrX8ZrMfDyP4gPydnOOjBqXgxl6FnQSZ3BU7cJlKns2xcnTRXp8vVxMW5st/0pgq7U7t8/F/fHCt1T/+VLO2y9zyaIZgJgKuYCYiWpHQ/a/2TL0EYZgy0/4oRGhbFXBoNXhuIR8uWi4XJsFtQ8QUEY0wcLn+5XLUr/Zy3B5AIxegAskCXkQlpa5T5hVhxrNJUMa7CYAngfYirmPAsdQYk0Lry6GZ4imAIIJ5SDeF4r/XqN8aEZ+lHJ/GavKNxP93+yNLFNrcGwk8xSRws4r+SUhnzRe6qwYmVvSM0uPNRCIk03ZplS8RCvLCeSbswnZn4PEXBcfV8NE8rytRz/f9HpzwWIjGjGLR6mDIARcmPzdjJ+fIthsAVJg3Od9uGImyp9FCrN8DEaBgf6Ux5jbDjVRXabRur7bX3QYqctXqkxsR9ECEtpxX8GoE0CS2UmsqinEEFkYKDareX9GRhVYBlAKNeDQjAFNmnarPcbbWX/xb/7cwVMPDEYIlJnPV+DHDIX9h8hbSfygpvhhO/mhIn5Ijf31E/EpEnCdvc28k8JSVADpaWRh/mvD7mo7nTiVhXv7Cq1+hTzl34FDZHo3tPLC2SBgEi3V1WcLi8x3sL5dQWhalsby/zuuk7nPR5H2eHkMUwDlB8feF2m0mbIDH1BIf8OEy8YA0CRZg0hbs/AYgAIUMOJBD+npArRCCER/cR3Hde7m8D6UbiNFWBWjs5fgAOSEMFQE8kILoqDWiS2J/6u/gpPZdHITZtlOETrcwjfIpKEg1aY/YH/LwY9DfgD4B8t8S+UJ4+wHoVmhF2ubeSOBpIwF0dg6z34EN3WFbDnQ+QT6zMYW9mQi13QH2E4EVmLCPMOUk8Vxsu2yzYqgvVb/vYxgdX5Q4jiknyyUAABAASURBVD7m8MXUuBpa3xhjRNDfvQTj6zw+k4LPoxuQqR5RrTKoGGiqmSR77QGBCs3jIYEyx2BEaRK0bsl9WRiEMomLAq0d6ji0t+PzG42VA+uQ/yEtCsaaXN5CwsPJIHjiNXjCywlvqRySLsAdJl3tgAZ+n4qvhv4e9LnQn6Glv0zoP4r+GxFxD/QYgIaam3sjgaeeBK7Hdv8BunyoCHknIOxbnGVGzu0Z05GhJwLmbaAOnY/nE9hUxX7XNF6lmHwYpS7f6XLsMURgyF18CFXaf7RHeOW3uW2AI7DGD4QGHEcBi9bQ5ef2RAEyuanQPJSj1HuDVg+WXIa6FZDx6/CKlxPE5f4KxZ2PqCJCgXAqqC0DC2BTfW7D1kp+Ld7ilO/xaLJuqhH/PlJ8Din+yf5fiIh/BP0U9FboIuT9GtmbeyOBp78E0OeSUvpPhL+E3gMfR2MyWuDNJOwm5YxZ4e+ERDnJeQCTAYe6ahf2xqI/LeP4EUeY0ZJdtEUe40emvLcSzQ8g/rB3A0E6Py4QOv6nNYAYMMi3h3Pfsi0eoeMLptflneA6Du9L1WVj3brj3kYBOgYqIbbSCPyihE/iG/EKMHNmk9irxgxRbEF+HT6l4UlaaJJ+Qn3+rJTTl0XET0JnIcMXBTb3RgLPXAmg5/uM7p8RnlUKrQn7yPg32WESZksRgIe0yFkpAwvk1aAMNlrtAGAtbYsl9RRud2qfj/1jAgi8nGoBtTvicrQ9+8PA4fCYorq7NUMGAb+yduh82pPMJMxqPRo1wCAzIhRBveDBN0KoxNthtZ9bu0Rc36/DAZvwYClEMTWivpCJABrZuwFcEofFhUMyk/BwKp4OVNV3b6fMX1Pkv0Sr/yvCJ87ENvdGAs8uCfxKjfjPkVKteDjC7hplhGBw4dmmatsdMe3Cc5AeDgN7pZhsi7W+l/Z0+Q+2U1SP5/IfZn9xrC8RrHEiMG8oIlra/RpuYAIS4HE0rwaAMKhEpSzxMPcyO3G5Wks6fmIgNCoR3i/9KL/S7hq0SKAbx4NoUlb47MffvYFKD1QBNAJ0xLYKb0YB+Ahvh/gI2PyPMVZfIKX/JyK8dao0s7k3EnjWSQD9X2GR/7KovL3aQG1H2F+07ZWaORpwnBccoEaWMDcokRcK7Np2yBbrauXxo8htd2qfj/3DB8gP+nrzwzbTAAfbJTSTxcwceyeXK+Gukd8eAycHcpxaqgzUOCLSwCiJZ4du65g4faGSFGRE9bASh8cOSUNYgeuX8HCCN1F4M6ocFvvv3wTgE8Q1zXug+X+Mrvuyvt/6VQQ+anNtJLCRwBtyxL9VsHfIWCO2JCggYV4GmoQ9RkqKozClTPFQ+2ebHutUpXwqtpotzuSPx0H+q2C7D1cP1nBi/HlvCTpcp5EMKN6bcZ+Y0+M+z+DH+ilCEbhrkMHH5PaceRwG7R7HFc4Bgzxg6lTIwgm/ocKjSZC2QsEr8TTD9em6m9Snr0x99tmNf0+2bmDzuZHAs1wCET5aSP8R83qLIiSA5ZiSgcZpgZBaOnCSTaFwHsmqoeYQjMUvYXacRAkHV04Ytuu8hBqXD4aIt5sjJULYs7EXQh/mGiGgCgXPpgojtCNKUP74poBRp7oVcqIogSQRoXARngPu/Rf8TEGek021DGwdBxU6KRpVKCu4jNSp5lCFU3/Zr3BYXDi7EQfG4VfiU/aqU/2kFJ+hLH+3ZuPd6HFfm4rPXAnc0nX9/1kjLQq+SjXAsHOQw/uMGbNWS3MZ7A6LVCmYFPapoVynw8P2vT5M8z61rizqN1Z+XX6/ukHdqHyYCO69ySEtycWJk+HPYyKLlPvcHggoKcDGFOGSkttuMYNSAzTSCCtnOWANaFrV4uQLOPM+s5pTDsBq21Lxis8HxWylSs+pUpfuVhevwtv5Um3rtREB6mlzbSSwkcADJIBtgBz6EQzkd5pN2kYBFWGnYQqORgLrdDqBD5QbMDnNbdkma9lWSR+Ls0ENJz428leaP4IqNM/no92AggAHueOHKXuZQZg8BqEWPlQPzmhEJmEolKAIQoaTclLOWakDcXpyJzzj1fhLf2vqVmmSfzW6/gs06/x9m7siDGnaXBsJbCTwMBLARvZZtr+B8M6a1iATBhmoeTjUI0/C/oL8y0R6s/2qJMUfkcQpKp+P8X4u5V8IPei26V4m5xpwHJoMOo14ACz4XN+u4FjwYToahAcyujzJoCOf3NRzvHk0I9uo0d4Nfg3lPGCTgkYYuLpQ4NkEoCPOboI3VjHrDnj+HpXus2MWPxMRRnAa3twbCWwk8KgS6LpfjND3QmNEqNnaURjBMQakBjih6LKUjtLEVdl7lPFDdXBwBvQh4bHd70fxk834K0Z/ROxoSH6I24wcUytUpKi6/0U7MHh5EMQjgsdQY9yFeW4BH0mhHJ26nGWvJgAZD5K3T9JRXAabLQa+jcczS1Vb/duV9Pma5r8Ru3GHNtdGAhsJPCYJRMSgrvtnivg9g0vbodhWARoRXiZskDKy46C4XxfvrjR533S/pEd5AGhc/kMpRv/3b625UGTc98YxWT8eMxTUOYqHPRGYDVOmWe6C12NGXa8NyLWpE0E9bjl0WmuDCjy7rMCWCrnNBjYATuDdtDOdPlaEv6Jh/Dxt5R+PiEM3saGNBDYSeFwSuEWR/m/bqW3Xi3zBFAv2WWjOoW3XFNh1RHC6UqFiiJipSx9McUpe+e1flht0HrWGwSACTo5K+lmZZwPGUVh579+YpExEKMwk+cEzvgmf994AHg+1oWdrKxhEYpi04YGLN1S1pyaAI3aN/i4O26lD0v999OOXxMneP8hsVWloc28ksJHA45BA+PxzTD8TKc4KO66BzUERobD9NsqS7Th89rM+/lCzPD5qfWyeDjz6J+p+XU70/ncNGn8AGVDuR1QxAhYYMtlzCfgTjLZ40ABlcHj4vP8Nu7wKl1o9oLIAOAVksocjdlC155gLsAmoTtOoPt8AfZ22+6+K2WzzJ0HvL87N06NIYJP9CBKY6Vbl+C8VAKqYbKWoiUC24wY4nOmE7VoSRWQ3pzkOpT5mT+cDJPnbyARXcAMuZsAUMGCAMPnZ5DOY8PbKYGOiyWPAOQ5JkmgnIiQogpC2gkGlPskUbKV4I6U06RTT7ubo0rdFzZ+Ix/OvI2KpzbWRwEYCT6YEBuX8byKlS9iXzXLdNnbaHgIbTUnBc2oh8SDNyFTrS9O69KN/glKZUn8c8m+wCUT7NKSHviKC/Ho/Si0tlEJyxyEA0B9GGJMqKZKT6E8RQYq3VFVBhTAHmTTC2lWJt1MFqpM0aJpviGm8Sl3+E9pO3xCn4s0Rm7dT2lwbCTzJEsCuKk3+v4r025GiYqhq4EJiBNaLgXtHUwEcOU46hiyRxZvnHUxZV3r5Zw8fTOHHUofi994R4X7vTahS8PYL6NFlas/BMynEi4qaC+eD55wUbKMSno2mqWrS7aVZ91q2VP8XW6k/o1n3zTGLP4yIVWtg87GRwEYC7ygJHCriuzDhvVC0PrA7KXAK/GjnwF/MBXj8aKKsfCV/XCH5POdFDywb4eYemLp+jgh4uJfWqff/JBd0Ic1fIDQJ1oKkIxJhMICAec5taky6OduyN6mL7ybtM7XdfyJg86qYxhuDPSYtvdPvTYcbCTzbJNBsLeu/YKm/ZK+GZylsrAS2VeKRQo0i1K61aeuKQIetjmt9ChUv/00M4pfviKC/B9PlAveN0LFxBSdG7afvjvhLhCNvolyOtqq5AmgEUprwbvBq8vno43uVy5+K3e5D0/b0q2K3/7mI8B/WcquuvaGNBDYSeCdJANsbIk++M+W0L3YhgICOKQE8ui8pwCeOSnAsbN66gmtGmU+GOuhx30YGQ0sjgAYwEy/wZRBSwJTJHLFzUpZSpyE6/QGHz9+mSXmFtvJXxHb/axGxD7mZx83LpuJGAhsJPAkS6PQ6RbxeeDU+BnFoOo5H5rW5bdpOBN0F5EeCR72vokT7hSjhFd0NUB5QMtwjaffLs6djcp4LwKM6XQRsfiYm8SUpTf5k2uq+Pvr+12PzxT6kt7k3EniMEnjHFj+vqL/cugB4dEQB2ABGqn52nALHYHMckvSIt/80qX/o+YiFHi3T2NIAp65LOt6YgrE1MmqlHL8eKX9RzCafEpPJf4ztuBmwGdc1Np8bCWwk8FSSALY5SN3PK4X/6xpe+7BxwYGwXVd7N7E+WK4OsXPznvzxSAQw9OT/Segxb62oq/sTrdznjghFSqogYXT5kvr09Zp2n65J/omI2Gyf7iOrTXQjgaesBDgCwau508BiHlsYIdIkbNuvzmvwKH+EHhV0JJ2B/PdNqUHsCd4RNOObMAAcmiuK+HWl9KfVpfbX5yPiyBcid3NvJLCRwFNdAncrxf9sTEZgznEUJfSzPRwTj864EtDxa/KH/OmDG3hsZCypMKVGJeqhUn119PGXIP82CldNm+tdKYFN3xsJPHYJLFTiv2HUOBBUjjVVowv+g72cSkhq2/k42fGHJLZGru4/2GVv5yHLXGkibdFhoXhdU9LFlOObcb++IiLeQuLm3khgI4GnoQSw36qs10aKJR6PAB8JZAnoOORleUunrJP0SNeETP9B5cd8nkO9+92ts/V2Cp7i7RHxFyjwbYQXCTf3RgIbCTy9JeAfVd9zPATsWoG9H1NyPEIYv4xFeoTL/+uDf/rwCEWuPCsiROe/GxFfKsl/uW+znUIQm3sjgWeABPz26nc9Dm+n1M5wQkHYKHiL5dfXFHg00PkkyvjnDwQPcT+GpFgfDv82Vb6M+M9Dhfjm3khgI4FnhgRGjlB+iqEsIY5S2oZK9mz4aN//1dH1sKBDAzPKfCrkV+YEj+0GVOgPpItGBhgDzpdHxP96bC1tSm8ksJHAU10C2DVvxpO/JHj5TwGTJkCAu2GA2OXIHlDSQ1wATpDs1+RX9FcCKfto9/+mwOdCBh6Czb2RwEYCz0AJvC0Ur2NctW2xiPguwSfbLAMOCKSHBB2K+M9YfDnhlf/BLgo/xG0P5xdI/0vBGyrIr6543NwbCbwzJLDp450pAez7EAP3FuvyLwga+AA4NTjTAXwq9HCg80dh9hOgDD2R+zep/Lcj4o2Em3sjgY0EnuESAFB+LhRvb8MEbCJC4m7kZ4gyut/F1uo5JPwd6Il4OQCe/ArtlRHhrRXNbe6NBDYSeBZI4How5kePx+mtFRggATYc6hAm3Q90ABwfGn8BFfzdnCB8vPdtVPwSqL1CI9zcGwlsJPAskAAAY4fj55JiCZ6IZxUAZwRNSnWW7g86yOSPQT7LeSJfBtynjX8O/Rodrnvh4al/bzjcSGAjgSdJAq+nnd+BGuiAA5dDA1FyBpGA3pv410MOCR7XbZD5b9T8bjrafPEPQWzujQSehRI4y5j9H1s2DAALGuiQ1u4E2GwR+3Don0IfDzUgInw8941U+nY6uUS4uTcS2EjgWSgB7N9g47dY7WcRPF9Uxy0AAAAQAElEQVQGHfCmba9+ELn8JPQK6Ilsq9zRP6ON34I290YCGwk8uRJ4urX2JgBm/ecuHsC5vRp/6/ga0gN6vLe3VQabHwbVLr+jf7yNbeptJLCRwNNeAgNY8B8YhX+TRcAdQAyHygYdYiQ8sfsC1V8F3Q5t7o0ENhJ4lksg1r+1/HnE8HvQ+j5CGoPOOuHxf3pb9SNU/0U68jeQiW7ujQQ2Eni2SwA88J+t+UG2WUviTRwOnwzQ8XdxvoXGNoDTxPqU+NgwsZHAU0UCPwYjfoV++TD5YUEHdGo/T6fCI91GMr/18lurRyq3ydtIYCOBZ6cEbgRL/i1DX0Ht9ivzBi5k3C9suY/+YRT7yY2X8+iC2pTYSODZKAGwYUwp+Ts7/5N4hdor88cri1up+E9oxIfIRDf3RgIbCWwk8JAS8Asm74ja9/eSpIcs9SiJfg32TZTZ/HocIWzujQQ2Enh4CeCY+Cs1/qXCD1BqmUggfPDtdNODc9pfHnwN6T9K/ubwGEFs7o0ENhJ4ZAmAFXZU/hGl/ls70yHyWM5zzlH+26G7oc29kcBGAhsJXJEEAB7/nZ2vvOzpkHAlFe0m/SIFf4HyjhPd3BsJvGMlsGn9mSMBcOP2dqZD5EpH5UPjf0N5u0pXWmdTbiOBjQQ2Ergsgba9KqWomkaOaI7+0M7lEveP+GvN/hOk90/dPG0ksJHARgJXKIGkCN6bQ2yWMpTAHZUqf29H97/8Q87/TlJ77UW4uTcS2EhgI4HHLIF0uQaA095LrT/AojiKXS5xSOz3Yv1DLqJPzXvD1UYCGwk8tSWQGtYc/foT/6Z5OPZynG7WHbbnWv2ThzudtqGNBDYS2Ejg8UrgsqdjwHEjDWSOQGj97BTH5MNjU3vYfGwksJHARgKPRwJ4OsANh8eGFns0x42Qehw9Dv1XBfPxwybcSGAjgcchgU0VtbdXlYPjgNhbqfIWywfJDyEb/y3l7YdI3yRtJLCRwEYCVyyB5J1UI0AncHeCt1eB52PgaemkHbVm0Dl1FN8EGwlsJLCRwOOSQEoKXplLilADHUneZjlOtKU5hGbQi6HNvZHARgIbCTxuCSQQhpsTHLwbg03F4yGBGxfH8Xub9pnOB1DG4b2pm9g7TgKbljcSeAZKANA5GpVBx9/MIWxbK4dk1ZAK6Q55/Ehos8VCCJt7I4GNBB6fBFIEqEJdPJjm3fgnEQad5vGQHhFsv6JtsyjzAZJeDm3ujQQ2EthI4HFJgCMdAEWxruztFB5OPfoNFiDTgGid2T7PAEp/qsU2HxsJbCTwLJfA4xt+qn5FDtCwg/ItUKaRX6GbnF8NRqYqe0Z/AjDafXzdbWptJLCRwLNdAgkAGfBewJqqAIACcEkVsRCSqPYWC1Ci3BqMpPch19ssgs29kcBGAs8GCWD/HXQN9CLoauhxf1E4sbE6iAglCYDhyWBjAmjENqt9Z0fGm/UbLtyhkyrF3g6FydjcGwlsJPCMlgAAczUD/FroF6DfgPyH/L6O9KuIP+Y7RcRFgKRVbAAD2MSRx2NPh4aPAGkNOjxnRfpwKvTQ5t5I4AolsCn2dJQA9n4Svv8u9CroA6HnQw7/IeG3kf+Y32bj4MRtVFYceTfrcO3ZGIy8vaJh8KfqCJSCg+aXUucMtLk3EthI4BkqAeze38n7fIb3xdADfwI1Je3zoMf8YgnQqddTsd0GGAE+dCZvrVTxbnh2WivgD6epPpfoC6HNvZHARgLPQAmAAWCDPpmh/S3oNPRQt38a9VmU9a8VHir/IdNSCb2+1iJugCYUhb5W9mqSwBeokFaVi9RASfJ2a0ujXlbr0VcGSdvcGwlsJPDMkAB2DQjoYxnNt0KP5lx8GGXeC7riO/H6yv+5+bLVqNX7qiMihecGNHg7MCK/Og+SFdEpyh8j2kHvgHvT5EYCGwm8KySAnfus9rPo+4ehl0HN5Akf7n4eGQYogiu703Ic38LBsP8vK45wjkGHyhwmV1NL4gPg8ZlOJYSxhGfkn0TsUHJzbySwkcAzQALYtbdJX8lQ/il0DfRogEMR+WznY6l7xQ5Imsznt9Uob8apERUb8aEK4KwPlQEcN21yIV6j+7wnVF+qha5z8oY2EthI4OktAWzf5zNfRfgqRuI3VARXdBuY3peSJ6ArupNOntyLlH6X0g1d7M0IcKHzts0y8ES43aMSeDrtYLnUbXXjB/3/2fsPeNuuq74f/Y0511q7nHKLriRLttyw6ZgShxJKaIlDDSQEXgiQ/Gl5pv0JL7R8IJgSQuAPoeQBgYRe809CM8WEbvhTkzyKCy7YuAjZ0m2n7bLWmuN9x9znXMlClq5lSZbss7XGnnPNPscc4zfHHHOfK1JPn1MOnHLgMcoB9ByV95tLKd9E/GuZRvwAEAjgEgkc4P16nrhYCsvoesoqHEZ9KvpzMxsDTGo/x8BSAScSoAo7hIxGjPK4cXsWA+2OX06DUw6ccuCxx4Hw2/wA+v/PGfoUejBPS6Xr/tOo+HGgDyovxKHTU7FaN8TlcYwK8An7J8CGeHUq8+7EA3woH3f0YVoRPX1OOXDKgccCBzAUEhR/yvBsxvuTxP8u4XX7ZCh77wdUEPfb906+7/ewdNRMJq/AfKn/p4cTi4ZRKSyf8N9opE2Ax/HzKIi4AniK36JS/iGDzvfd/GnqKQfewhw47f4aB0JPoaeM4/gZJP5X6Jt5j3+YD3VHx0l4kE8YLEfXW7eCjq5cuWiyRUp8U5OBVEMmwuMIAYMKsIEi/ZgaUv8hVR7oLp8ip88pB0458JbgALoaoHITfYej+OeS2f8XH84Ho9Qz8gjQYjI5YvH9oJ59au1B1/VsQOfs2aUn3S6ZBCWsmFSPVyVOWhgzWE6keRDju/ZX6Lyr+NMl/R8MPioTPX1OOXDKgUcDB0Inobhh/iL09PdBl/9Lxd7FSmpTSXLUOhQ83CZBlHmww76LiofQdT0b0JEwj9IrGKDqIACTE5+Ox3HqpCmsHEFOfoRGnIG2vH8SRU7/FgsmnD6nHHhLcwA9RjX9iYzjX6Gnz0U/v05FT9aoJi6HSEPPXRTahPZm2wuXJG1+YEzkgZ4KOmY2msr/coYQD4OWAzYFCvCphWipDi3SIMPPE2WirJUS/5eI/xfxx7ZvhzmePqcceKxyAP1L0M2Ay6djPDwXX+xzAJtnoqsTx1CoFIbCCTFRdJ9v6Z5hxE9ID/xxitwB9dB1PSd4ImX7XUtpRe+MN6CH+nHEggJ4NqhIegwY0CmObcZERFzFOy/lc6gRP4kmOH1OOXDKgUeKAwDNBHpHAOafcxX9C4Tfo8HfDWp8wEUSelr1FnyI8NrA7vVbHLNrOW9CBCDQa83qAe26qt0DdKYvA3gOlUzxZ5xMQgE04b8BUASwSAw4mg4Kv099jy5Jl+sdsYw+knoPauTXNdrTQqccOOXANQ6ga3Mfho/1wX/S+/KbPpRv98HfSz0Om4FiAI5BwnAwgCf0mdTNE0q8ib2539FT/edxrrehu0HnQFdldtkNzAAQ6yBHIlgyqQILTfJawYcJVCBiMgE8AA6Bx9Hqcyn1JOj0OeXAKQceYg64uwE056AP8X78FvXD/8Sy+UnCj1XvN0GN+lEO0JCvQlgGlHZkIKGzGAfUDV0lgQddN0PfidaH/Brex1fUu4/kSHozQOdGrSzZq8UYYhzRST1WBfBE0wzajqmMRYUJBdhQnFy+mZuZxf+e5tOoGwBE+ulzyoFTDrw5HECXDLrBe/9gXLXP0dJ/TovyU1qXf8H7O9rap75Ga3sXxykIC2GQ8OMouSmRJciJEwgdlSeOVRuV1b0/9FVB6d5hlIu0CO9FcWv12nul3e9rukfuwIj+EpIbIypMAisnTLNKzjtEjhTpxKu1c1yOacRgA2w+jTbjp9UEp88pB0458KZyAOUOoJn40p+mQV8CuPwKVszPQ1+pvry/VuMZwEdaoZNrQAbAsUEAjZS4ErLQSfRTZIc+myx0U6HXZqb4RFaEZiYzi+j9EmOq+Sdhfdl8XSR4cMcrM3NZeqmSFWMM0bjH4ANgIB+x0ZzmecgGd4q8phOSF+XJiidusr6c99O/yQpunNIpB66TA+hMgM0ZNO0jwIz/4ln/swz+bzkqvUfpx7n3g5U1uSuA5hhwvEf/1oPIUxytxClEobcnfR7rLMgi4z+FckNuFAgiuJ7HbFPYbBPeo86riAfwEFzfc09LR2rSCzxpYZYUaGlxHgRBq9k2JlpMchEy4sTc09oVZpxRKTNRiwmPOLGKfyTXdvFPHVLn9HnLcOC010c7BwCZBMVfdb+7D/6p3Dp9p9x/xfrxJ70fP0brcTf1mC4VaHqVVYBLEboFoYChnwRJpjAABFLVOQMMcfIo4AOQJLdRKc4g2BWRb+hwkNBbR5eDRBuVeKea3tiH8dINrfuGKPfHZlb/hIr4dT3pnqXWqX+Fku3LTDUDIAm/jg8MwyWXAaLGd1Z1Lg8wIEiq4KPRKQRJ52T+DQzwNp1+TjnwNs4B9CAsmKn70ROIv98wDJ/ej+M3oinPRcX+Hy/6TdK/j6PUP+co9Uz1vs0RygTICCumUuhZ77IIqYQyVl0zl0IjxYco3zxGFgGwsClG/NoDWNQ6gMu1TCoyBsCEUsQj3WqrRsL9PgCA/uh+S9xHZrpnWud+hzXNayyTnBIA4+IaXIGiJwT3FASTal6BAT7gMWcykRYDPm4zrtD/GWnt8ftpcMqBtxkOIPeoiQM0Hv9+8Ccy8W+TJr8slV9OKf2nlOyLUZmPQK2f7qOf0VjiNzWGhSNh2fhqVBylxgo8LgNw0uhSJXQ99C7IXfRF88cPDR7HalBfA2DijWpRlirosCC/Riizqo6TWcuE6wQS73rjn/gl8p+88ez7zgFd7pGxvX3ZUvpz5STPdbjwqMjKQIgd52GsBTFRXhX2WzABM8/rO3kxSCjmaWafSeun/9AXTDh93jY4gMIG2MTfO4Xs/zdm/bvQD0OfBcU/A7PtuE2JY0s4ICL0C73BIVz6AXBB39aS1n53HP3auDgKjmLKjigbgEBHClCgTyoQ5duDUF10j/ZJQxejjACouynSo2AQNShDFRnRcKuItqPNIErc3xP/vvqbdHMVjR2DTkQlBtrL9PuBJTJTAEcSIQNOUAyoDkySGcMMHw7mXqRzCydSKun4Q/3bisoXMvj4pxCPU0+DUw689XAA2Ub3fZvwPaEvYWa/CMXu/12EHwndCIW1H6oj9JrXJKFP4ZsJP6gBMMIhbADPeISFswBUqrOYogOElePHJFw8FloW+geZ8QZt2pXQOSpsnugw9FKRif/GLAMsm75LnE6OSaHHJ8BDW2amdEx6459iZr9E9nX/kxaUrQ8jqOHdX6n5Q2tzUZuVUlIwZ2PWFeKFQccMpAAauK0YsIPQ9XYrBs9EAlkZkPiYZB8FC/+eTj+nHHgr4gAAgzfC35kpxZ///Djhz0JfBz0Lin9GIhPe60GfAhVQ/8BLUQAAEABJREFUCOuFJaNq0QiAieOTAT6ppqNjxMO6qT4c9Cr0bQMg5AEQ1JQs1MsU/+keH8aGrlIOYDPSk5KceOiyoi6UtNHlAKYNKFGQKnzf/dC+0frdCZuYGalmC97+0MwK4Zv0wIV7ld9tX2Jt81oHcGIMjqmlHntvHJhI0bVBRjUmUrB0NsyhNMxx0pywRL0oI53FRf+lMOJN/t+Pbqqffp9y4NHBAWQYUfZdwvh/PX0Ho4r/p/e3E3409AQoLBqCN3woj667qnpyVDLUKY5PWqJTiyLn+tuxbiotQSQsHrF5e0889AsXRm3Djts9Ceur1++TpKqfpIRBEGke+oguBmhFHKypMHJSjqKqCeJTK2za23xLgZHk3NfzOhJfAr3Jz18HHemKuvY3U5NkyeQMeAwGQGHVbMDEZWYySUa6Q+KcGRM7oQCemFiUkfQeTPazYNyb808i6vTzNsuBt/jEkd0tBvGx0H+BfgP6bCh8N4nwjT7UUyU2YoEhxk2wASRh2TgWTrVyCCNeAJyaF/ngkQXYoH+oflX+ghKVQC50794dmtlGH12AGz5XrJnQ3dBBFfQY9LAaUgAg0snHTiKbkFwFxdtJGPF7UWTFrdWb9Puckzb+GsPMrGCN/YyaZkhNo2QUwYFcAJURiomoRHVjkhb8UIBOoHKEJyacMekYvVGqjGXiw/CF1Hp76PQ55cBjhgMARvzrep/AgH8G+n4o/j3hOeEDPtStZSJ0lF7VL4PPhhupgpUTN1TOlXjcUqWwgPDXxMYOSimhN1Zro2Js/sqmMASUU6iVwA9RhEwed93zE0ATdJIW8aB4P2kz+oh3GSknRILZ3e9mRvZfJ4qtoPBdRUj0TXvSfRZ3/xNmvR8TDSrBMFA3fDuBvnXADEgJBjBfA8FVHWEmgdIClILRsKM2n0S69HgYGsesU6dy5crp16OZA8jvDOdt/I8HfpRx/gj0YdBZqAoz4b0eFKHCwSY53qqiozcZSuiH4ti0RDmW5AI8hoWzoUHCL5q4JTaAxwJRKFJbojenoVA3Q9/MTCVAqGbe4yuAB2Lcx4kmM9vEE5po9Es7xBTtRUZ0USmKVeKLJ/IUYVB9+WtfryfleWa1QaJv2sNw7qPCzuR11qVXWpelhp7N5DBOnDENAjxqJSddjC6uyx2GBmoLNMeyURzDYkLiy5Qw+ThZDekTMTE/XKefUw48SjmA0obf5slsnP9GWQE2H8+eOkGMNyOOyD1pk8o3RxqE/VpWKehMURyXhM/GVrQCyAgHcQBNijSOU1qTHu6JoNCxQlNBtIVqyQJgqgryRZbM4pFIZ6yRoqr6hf6PQSfSXQa+QJRwTiq8KMCmUDhCj/qJ1E0RiXaDIk8P/InbufiHux645H2UoNv7SJUOPeff9CaNhRKMszKwXrNxxAJRJAZrZgQAUoFxNd1V82Be46YKTiRRSLBEHM+mgNdXuvvD+UtlnX5OOfBgOIBcTqgXv6/5PWQ23AFxCyVUgOT7eBDxSA0RD4p4JZTfUAlDD7CWVF0PWDYOwPiyV1n1GnkfsW6CNpu0OEAUFef4BUjU9mg/wEEARCX0LdqveRG5HwqdFZPYkPiYHGAy0jZ5kWR8SWaEQTr+RH/H0fsI4kj102bXWrmPIvefdJ/8pMEhTZrnWtceqmsBDCkx0wwpGAmKyzEJ2Q4SfcdveAqMFOfTythgLhYPVg2cPB4ADVgsRvH3IP1fuzumz3HeaXDKgbcwB5DHd8c6/yHCb4VulvHfPcZkJ/GIHJOTVtCO2FCFbJ/QBmhchaOUcZQKJ3H9q3AsGwdsQkfiRKCqQgEGEG2BU/Lw2aAZ8c9PhP8mLB0jTUYZ+oj+GKc8HNPUqQ/jMTOKbOieACWRplytoWSpvpnxHmkyso9JqGqN8kU8HvjAlPze9Gfkxe9zCB7ck95otWH1v9Q1r4HwKbcxPJU4WmEGFqyaIPgtAxUr6AUTBuxCAMeg6hiL90inE6ecjAmV0mosn8hR7ZOZVCbr9DnlwFuMA8hgNwxDyOKPmdk/ZCB3+xwRV951HET0GgXgoI6b93jBimAzxapBB+pRCkQBdBwK4BHHKuE8FnnG0SoAx/DdJE4ECV9NsizLCdChtwzAQIKq3tAL4xTFiUmJEZlZjZ98Rf49SZQS5RQfiy8o6tyLzMjkYRiKKKXu7+nNLG7vHvTRKhpP8XVfZGfPXgZwfscnjbyFYmCAjYZBidBHOB1/9QmYMBBg0gGl+CvYUQJ0hI/HwtoZWIQoSk+WfIOaw7grt3+vXs+EUbR8XyM4TTvlwMPLAWTvZnr4qpTSDxLGD/1yyHIQ7/f5IMoKiswkqxYEQq16nAJnUv0NDvbIYpStyjFRA/AJv2caTBuwEbW1+ZhkATw5SwlVIm6ZCGTZyIR0/x+z4zLHgaxIyVQpRkxbosm7O5WMfkS6m4lH1/F5AWV+0ixmS+xBPjGMN161aX8R4OkLDuXC4IK5wtIRxyjD0x5nUcXAo5VA+gCZABtI/SgFMEV6+HyMicFUM5MibdB58r9BRzr9x9zf+Aqc5jxMHPDF4sk+jN+Pn+NL6YIDDd/38QAXb5CK9OqEQpeNAqnKM0oAyIjjkyH/8c++CKtG+HDC2lHksQHX37HRohmtQIb+BFVnQ8QZiXF5Yw3t8VD0Xs8mkf37Hum0FW+0x3CqRRRWkQvww0cUzuGgKFIHH5XxlTjVgkSTEZ5QLffXv4qZfRvJ8e/nEDz4h+7up/KYf6ek9LKwdgJ0zExh3ATwGAz0AJOYAMxKGW5JYiErVYYHCA2wActIOMdEfY6lqi6h+qX3l5XPZ8e5/3HQ7ulzyoGHggPIWvb4x8xzE36JZ8k9B3CctE0+SVVdQ2XBFeT3JPMkjKRKfI1YFFg4unYlPsoAmwAe4cMpxBX+TnTAkfmCAlh0CEXoIfkYOKH4RmiWlK5ZN77pn7LRdQRBoXIn7xEGFQDEzGRmSuhjBZlaGJ2MPqrVQ3tRuZJkpJvpej5MVPGHqz9rMejrqXE/Zej2fnK3dREG/LxNO1nXyJgMXFAAToGJ4zioQKKVlPmiKWcRwvcTXnnve4njmJ8AT628maUXGDCMLeFnaaX4PQS1T59TDjx8HABQtrnw+IIylh9EFN+BnhJpFWR453XzhIZtYvf97YBH7JzO7ZOve3mAChaOAzAF18IYIe+F/I3FDzBh9SPxUoh/AIARIQzFV4S81hA9MuMljkc6/gBUESO1Vo/4NToerFnkSmYn4QZsnLajXQXQZCnikea0X8dD0nU8d5jZV1LuMvRmPxukeCPN0NHYTLpfa6bNkeoRy2rJAJZgpgEmY4BKWDHZZBECOsbRykD+ivaxC5CGlVfrWgCXGWDFlFkIc7tB/fivWfwbaoHTrzfgwOnLQ8MB5Oumsuq/Fq38erN0FmndNGwEEA+RzXMtznnDQqmDNlloMi+AgFc3A2BSHcSE4RzmWCVCA3TihspCB9hcA9DoX9GuGd88nmgKnfEAgkok8G4BErUvClHDlPiOAvGu40/Eg3iNAKrjPH5NNWSckQ7RhJx2nQymxHAMoOWFGEUf6Fkz9vinOZ5vZjT6QMUfOD96vv9S88kfaZJfnGatCOUwJoA+ASbtaGrhd8xLIGegqQ+9gtlpzcQWg6p5CTgZwIO9KpnxZDhuEumKs+7o710Oxq9jcvE7CZ1+TjnwUHLAj/y2cdn/jI36wlRsaqGFllE5xB95RCAVH0Olgjw0E9k2Ek3G9+ZBPtks8ZMcA44BOLZ02ZoyOI79CKVYrJWWRbl3xW2Woq2ojtJboZw7alA04lPhHlelNXmoQ/hxKOOK/6gQ9Y7J6xioy7jNTAVyNm+PMJKPQzNezBXFjfx4FVOsYIMFVRId5SyzRHJkGOCDAtOnMa4NUT2agBSAWcqvpZT+rZkxOT0kH3p+wHYuASY/Z21TUstCUSOYH0hfYH5YPfEuJpNyljHZUkYVjlaO38fCEgJcIi7KR28J4GLe+JGLSiCYq9FYPmU8Gk+PWcGgU3pIOIBcNsNy+dHrfvE/1Jf3CX08adiPX5KSIuroqxsKyDEkNnQnMfQu0tFJiawKIshybKT1KMUVeMQLR6m4AnfywqIPnShY8Y7S1vqACYorC+cw4KImq+pA6AFpFu/oTfSnGMO9yGrnMYANmZlijJZMDF/1Nz2kKZFf00yRbjlJkNG2mdWpW+2kRutXfY9xAjrwCxAC9O6Ov8Zy/jozu1ILP0RfjOr+W6LDUal9bp5N1sK3UxmWqIbl4pxZA3yCyR5ch6EGEwNIynolX65VQP5wpNVFAoBAGQnGGAwXMy4AlGOGUn079fZ1vvTTPwq9/yU5zb0ODqBA8/7K4vOHg+E/p5LePikE7u6KoXtmd7+HEsdbyG7IZYh4hB6bYiglG2jIe8E5XK1zrBmrx6kiI82x6g2r3UkLwAmgClCwaAh5D70RVk0Ns2QBBhDoEUUVDmbxQSWiW2Jv+CQzipr44mH0yeSQaN8IHZWs1s9xvPBeiSq616cm8cVTc+DVNbCJhHgnXKRkX0f4B9Abfx5EDkO7jlr7l16kaftiA3S8WjtMmGo+jlIsBhZMLJazrgE6ZAnLRYl0YzcwnGvGLlDw9TggI2YbTE9p033sDqmYrPdnaF3ij0J3ahunX6cceBM5gMKYH/jN48XVN9ha/7bxdFN2M6vtbOStRlF1h2r8ODfiFpYOESPPAJswOoTVIo5LDqiEPDuAo6BFkQJwIg7YxAZMdcR705uZqQKCmYRuOGCjhsbRIbWMhbTIF0AR5LUz8nkMXCG49tTXaKdSJNP3pjMF4BTaDoo+nHYrRVmKolp8624wi8YqOWkuRnKNCiALD2PGP66U4geTvR7iT/T3wE3efPNRadIPATq9bU/lOJWjkgM4JaydIABGlpQwFXMwNUxC8gXo+OFasSskQEeUFWBlWERRNoCnRN2BFgfZ2Psnjodj/FMCJJw+pxx4Ezmw0OOXh8v/WsbyOVlpktXIkMuQTZlpQ0VuXuNOoOOPmcmUxbavEN9aBODBCpdwDidAJ6GC7WAK0PEAHNIcuTbUNI1AFRruZIdsO5b/mIpKdhUAwpF5kbY5WiWJ/uo4orNKuvaJNk5eYohmtE27Lt5iYDlR3RQnBgO0IiRBGyr3CInTtsfOTmgRnhAAg4mlaDLCEb08Bp0/STl9kZnt62H4pOtpk849Tdof82nz0jhi+aRVMNConGB2MNw4bmlkRWjRQHFYzetaWg8cswYJJ1ssmLB4KlHXmkZu0Qov8DJ2FCyi7bIuX+ULj/9pHxmnzykHHpgD7M55dfHoHx5d3fstH8r755Rz4EelRP0g8EQoqCNzZiYj2UKBCd1NoXACNCohsgE01ao5RK7ZPHWEAiPHOsLCB4TCtZopf9yELCVISoQBMsLiCDKARg2dQGGBhEWCiYHsh9AHaTMWof9WSKcfEUJRTow72rNEAeJe50CZ5JSgHAMwM4WVJtIiX76BhI0AABAASURBVAEsFDczRTVzlwEy1RUSIaQAVBedxpdkZkpmf9Ek+0Izu6qH6RPjud6m77RJ+zybT0abdarHLDFp0NEq0sOEsFhoLQEmqUkqcZQClITPpj9asjsMMhZL4XgjTSadOKdrWRgB6EirctuwGL4FQYp/v4QWT5+3Cg48TJNATnK5q/+McjT+h866p0zaxszoDKUPa0Mou0LSE4mEZiazDRGhoAh4l0mhiD0hLoEKONxKKW6pjq/CtSgaj3pVHyVlCvKPGgjMglxGH16BQYpQDW21EGOwnGSMqZYhySDd42O+eYm2YihRDkyTaDMofDQRRl6EUS7K6LghMyMKATCCMLIUbVZCD425wSuyvBIjlNA5YTBEupntydLXqWl+ZzOSh+c7XW+zZkBwtp8CeC7m+VRp0slSktdBg/wBIoCOB9DA2Nwd5zMh45gVpmkslDgbF0BqjGMWnRvgFMexApMUBGNsxB/fDx+hg/6TYAZ39RQ8fU45cB8c8Ct+brh9/ZXrg9U3NWof1ygrmUmh7MhWWBmOPCJREslBoayqn2MtJ46coYCmaiAgs8K4EYa6AJbYJB1HsWPthAyHs7ha68h+yL9zrVWPSfRj9Cn6Dms/wiAHhERePValGMSm39onfd/zMTOZmfgCxEyWkwJ46piN8Zkk2nPiUcbMZCQR8B2P8+5KfJtLATSVxCfeCU6eUDehb0GUHaHvQhd/3MxQ6JNSD32Y3qQmm+YP1ebfwNpRwqlMXDITg5WxAIGYIzdUxbFo8Ou0kwnzKSosXMLRVhbsEEtWk3ePYxcgJRYhda0SC1UEV3gaNUqDJmU5fLUWw3vr9HPKgfvggF88um21f/T9/XL9lW1qd3M6FmensIEh+FI8kpDRCEsIKlknTxSrG11oH7LIsUwjwBJyWrBwygp5xbKp/ht8N8bGGurY0EAGDBL9mRkqAAEqAXBCjhVx5N+apOjXzJRIU8h3kDnd1t4VH4svyIkEmQW48IJu0LhqPyd9kebkm0V+tOgVlCJGE1LoIUBiMtGJRLzScXd0HSewSsa8nfGgd6O7/5y6Jn6Pw5GktvSwfcWSXHfjZrZUTv+3ujyOW52G+fExi8EXjk0FYKkLhyUTc1ZnSh2Mjx8McqQyQMeWo+KfbkwBOlBlCOYnPiOF0y2Y4JisGWxKS79JR8NXwZBzOv2ccuAeHOhfsfjgxaX1z2CBfExjliyQoClSi3Z1kqHkZiivJEdRZVkpI4uGMpJmZjKKVsUMwMEC51ivjAyHVZ4AnwzgJCwcAUBCbqt8h1ILNcXwD801+omNU42pVKLxriGeJEAn5awMSTkGImG2mCeqWCWTGEJIvWQBLMflzLLMkiLfzJQYrCUXUSX6DMuKUSh8PW7EoqBEvsnEB53k++4n3gEgDyuOsOodbUpFdPUbVvpn28Pox7l7IFK658t1xfvlb6tr/7SZT9RyzMo4lWu9mAgTiqNUWD2OtSOYk1qkwVgQgCR2jhHfjtff7sCo+LsVSHIJcEosVo99W2JhaZRbASvL8sHl8urL3L0l6fR5G+cActCtX334GX2//CFze4/JdJJarO7wIRo3p6HoQvkd2TOUWEHBM0PKELPQPYsQWa2KN0hlIAHQKWyM9fiEVSPAB0tbI2kj1nnBHVCoQ/+oKeBFmwaIKSj6Bdiiv5pGnxb9AzYp8pF/kIUaPIyD7/pEWzUS+TWy+fJoizQzCtNWRRHSVN83ZchRqI1kMjOdfE7ajPAaoU9xDIwxRMkaR18dUk4vNrPPse3tN+vfyDnp/3rCdD2F3qDM1tadAMSPaDoZwqEsQCecytGQsShxxAqK67fAbwPtDUtmBIQM8zSuz4PC2jEW1wN0wjLKkk2yPExiljUYJDxnabC2HJVP18H492FidKPTz9smB/x2v7B+5d6XLfcW35atuW0ymVgJzUN2/JjEHudQDbEMPBWFRaKQKcoa+CI3rBxTvQoHbAJgDEs9reBr/OYGC6dwQ+VYN46MGh6O5Ak8S1XBqS6lrAIgOPLt2ST6t0pZBuhRMB5FdzHG0AWZrn2Q5WvxiJhtMj2ZzEx1zEZOkgwS6YpQYuyqn2r9RA8BHqREm87gvJiM940OMQLyDQq91Mg7euqAqLsuFU9fZdPpg/r/V0UXD4aOp3H9Vc1YgiY9V11+fdqaKm/PJHYasQCxoIkJBfiUMFlxsIkFaSZNZLPuhaOVS0dr6WCtxEIbNwPCDyTqJUCnm2aFoARo0ZM0sohru9Dv9/9OlxaPv/6RnpZ8a+EAymSL2xdPWhxe/d5y1H/V9mS21WBdGITjUyFjnoXcIC5IdAky5IwwhVyayQxCISM5ZM052heOUOG/8QCYOELV6/BBJSxxwCf1UkaBQ3kT9XlDjpMS/QpgqYAD6Fi848NRpSRLkFlIf4W6ug6815Av5sM3T6RBdYzUCcDx5Irf9dR4DDaIogJcGL6CxGnASLdkSiLHnaSiqnPonbBsYo7GBY7FOxR5QULXAnCMOpL9Up51z9Uj/IkxP5guX6HWfkrTySiuzw3yrqkMqUcjJtbEpFh3wRixKAEo5kWCAWHCrvcOpdhF2GmcBR6XABF1ErdiucuKsyqlFSuXKJPWeupyPf6AX148+cEM+LTOY5MDKGheveroo4fLR7/W9vr70zxJllH8tgkMEHIoAQCG8ovQUdrIN7MN0BhCyC5vAR4ooeIoFRtdyB6E31BBhgwm0q1ejaPIgFKUNdEXgKCgLPpKsjZJDS9Y8KJfr+8cubJRgLoCBIAbI2QYVE11LHzV/PhiVBHIol2jHmRmFNmQx7gTRQyKkKDqD+1SSGJOJ5SjMYAmkWZBx/P0OFkw3/g9kYgHDXGJg+Wm1HhKXVyNL2j6EX2Op/Om9Wlma+X0vWrypQAdx6k8ThuMEoMPoxzQCWsnwrEHTIL5ISTJ2DRcwZzEmXm8CvAc9TIsngCiwvlZlEmziTLgQ0tymGmjKcrnpf52KfnL/E4//TMJvfV//A7fGl52+C/HK4ff24z+1JwQDo7zwv9XHcah9C18AGwUcZQ+rBDkEzEyGVkCbCzMgxHNROaEdSNupRRHJ45RAmysWjlYCoc9Vg7yiNKmqG20wOOJhsAY0X5YVCWABswz3g3AyVyYGPkW5Yx+Qt6pchwVwLkhZLmwsUYJmpVZfEsxPEX05F2F2gAXZYlQIGpAvJuTR0iDEu2dUCa56hW6opgrvqoAG2PDjuNjQcfiFtkAHIuBFuE7HuKCJnqu3TxSX8GmB9vXn6hNv6lp58YxS9tTFY5HsEbGpI0zoyAvAR1FYqGMY5ZYHIdxUUY46LQP0MKQDJMCeJw6UTbNWznCNVqBvy4bjJsFy+PV9T8tWv9rf4F3Ov28VXLA3W358r23P7q8953DUf9vZs3s5un2tmyGprcuxcojGzoGHOfWykPDsXKkEx0ipKjY+asS1p2ehAiXhBVwBnkAzoL3ACE2Pce/WFBmUiRAJX497A2bZUbHoYgX/EQBPsi/UqZk7dtq10AF8oq8O+niQ8h8SCOHOCkyi7LHFAknFO2IctAmiTi6QmWe4zZrG9E2FHGCa3PEqhGAGSCjANcAWaiE1ca8nXwDHZOhW8IyK3qm7ror/nfJm+4eoe/0YPsxg0OmH1HX7CVusvLuXCI0LJraKNaOWDyWijUHXmGkISgG+PRjL+c2y2DQGOfno5UM5iRMv/jRoAejKdduTRSLWwAuhc9npOWFT4eD/tnlCavPdvf2wY7/tN6jkwOsaV695vBZ43L8qWawT5227GTIlELhsSjKVIrNSGHZNCgl6eiPgpBJAlP8J76rwYDchOwI2dooI8rLEcp5tzhOYYiHUjqAYyhlg4M4JRQSwHHI2ognFYBHEScM4BH4F1fYstB6xuF3Ewih+HjIP+n1PUJjZCdEH1EmyMykIG0+0aRF+Xgl9JhIhI4eRch7IR7tB2lkDLgtBLAoLmYCZJhbzHcEfMYKqEWNtfAHhmFaOYRl9L5qzjw1unkkCS1+M7rb028o2/PF1XnaminAx8K3I6kEEwAVx3KJ3waUMkg5KeEoTizcUHoNq7UK1k5/9Uh+iMVDXAjDAOMc4LF5Vp53SpNEi5IDTG1ppOW4tbhy+LXcaH2sezV+a/6j9+t0ZNfDAb/i59Yvvvq1fmn1Y52ad2oaBCUAh/UPoHHCNG0VQKAWmWiSPCMXmXgy9NaEPsp7ekNWHCAp+G0K1syw6DXiNxwJCxcZhTRHGUc2vQG5Cxk1oz5ktJnp2iDRtrVSiv4AOqPPkN9U+6Ofez2J+ikxHtLNrI4p3oPMNu86zkfvFURRHsCQbwkAgZDrimcWr8XBLQCH/JN0kTaiYyO6Mq7XKmGhERdzjn8+dVytNPIe6dFGzlkGRXMjm3i0I7ebSj/8PZp9RJ8Ndx5sl+e0J40/pFaHvtUonZkrccwy/DFmjUogMGfMBIPgmsS1uaeiFGZydlFADSCTDlcq+HcMVDYEwREMg2FRJ81MI0ZUj8/aOWoFqnd9p26/OTveufwPujx+BAx88+bxYOd/Wu8h4QDr1/Yvvfqs8TWXnuer8qVdNzmXJ8k0Q9m2OF7PkZWplNrMF0sdYEDgmS8USUYIFRkiQ3nkLHZ9w4oJedJiwFlclNnXMseqtJIawgAfY1NsmEUyk9GeJ5MSKZBBokvDokLGqSQ5WQFEot8iQA8qdyOHnLZO/DYRl5lOyCwag7zm0FiERQqkDNnm1iQOECTUJ3Kd+lFC9CP8U5XYv+O6P/6qPRG3sGpwUQiAhX8SfhwjLiy6KG+pVepmjM1oN1otMoBHPqRk9tHwn0GR9Qg96c3px4JDOf8GRskfCYHI4QDe3ZLtTOVco5sMBgwCTWVh5gK5wffM7tWwYwUAFSye2GXiD0LHg4USzGrYqRwmejj8sil+iJhpb2xieeAyDGtZfc77j1tdPfyW8fLqWTCOzt6c2ZzWfUtwwF9x8Ljh5fvPWS37H1pb8zebWZcSsmFcTCTIOF2lSSPjRrOCTGKZeRSyVNUIJeJhL1NikzOOSIayFTavAthE6GxmTtyxaMQmNyxWWmP1eAHUoi3a9EwEbQj5DKBRQ6P4iup7k2Q5KTW5kgxwuw9mIYOAHvXIMzOKbYiI7iby6U/JBU5Cpoif1I3QTkBJAGgJeS+KzTZ0KMjjGAWwxFzq3Jgf1r8KVk5/TANgWjje5dwoN+21cYkPrJNFyLebv4MuLW7l9RF70pvbk5ndadm+3RKYy9W58O2U3ZlGBEexkAhCjsUN0IGCEQ6qN9xCJKiwmIWdyUDr8epSDiUExhCOgsUzBvAAaCmOcLOsAUEYOM8OnFtbZZXD8enD5f57dFV/x93f7Pm8ufw4rX99HGCtOv+LxQf2+8vnj/v9l03a+U15a64U/xZ3xzJynHGOM47juEDsMXKAIH7DEoCzIdUgAKc6ULmJEgpoQShfyFQAUCI9I1Nh8YRMldW4qZeSkNsNNUkK6lBHyFtk5BYVAAAQAElEQVRpQ7wDNjXPiENOoHt84pX5VMWOMLLMTNG2zOK1Usi97n6V7pEnPh4gM44qFWgGNmrGWRzAAXQ4SnkQYBJzDf0w5mTMLW7fjM06ACjmVgDeGGPTNarWIW3Xh6YiNLNN1yZCOy9Lz9Aj+EkPUV+/xiS5T2qkbZy/HLPy2S01s6lySjIY5zBsDOcygFGwVDy5MjuYEKwCsgeCa7FWXKOXy0fS0ag8sPAgegGARNOZW7IURzOEMgHXqSTh4zEtxicMdx398HjnGBZP0unnUc0Bv2P/pvGFV79j2Fv+XE7Tp3Xb2ykhCy1Ao1D4zuUTybByDAtHGe3gSGVQxOOUIZKcndxRUrEBCQVUyAnHJmHVlKOicjTgK1zLDhEkfDg1HRlLyGMyxCTaiDaRp5BDr32TTqgTijGxMQpFDZ2NTVP3+JyATCSZGcVMCZlX/VCDDRYFUCUhzxwLBLgQBaTGDaEPIh2RViIvRZwxxgkg9CJIAElZM6fVqOGohwZu3pgXcbE5B+AICyjqRNtd18lyFgNS7S/GgWXIS33QV9U8o8vkjy1LR5vPHovxLZ5Y3hCS8OsAPAIkwrFcKDPCSAEujuVjvMdThYhFDTR2GN/C6MQuNYZj+YCDN8IjdqyCteNYSYqy3GilKYJBfBh6xVV6N7Qqh+NN/aXD7x7vWPwDBIEC0cMpPZo4wLrMFy+9+qnrO4dfMM+fnmezM3HjWfDbWVCHpEyRDtbXKhBIjt6gFgKGIGYTMgQVZCVkwtmUHGX0AJwAHpSyBPDUuMs4am3yBoXy5pTU5KSUTRaAw2a2saJMYdmEjMVdRcnRt0uESuSZgAPeJRn/xWCYj6pMMx4df8xMqiQ+lI88KMo6OrAhV2Hz9Xu+VwAdaK+AT14puVSPi5wCjHmFdSP0I46JhmVjzDt+OBuAZFzaGEiS6LtpWymsM4Yi+ojx6/hDk/IkGXwQIVXwJDE1PXIfun3zOzOzknP+70zo9zxMkDiLc5slgMcgZxcbYfwYjIUMEu9urgR4GECVEIIyDkp44RNAM1zelw7XChDKMFycxx3TMrWNUpjgEwSBOrUdEL7BYZ3XeiKm+n8sdxw92927N39mpy08FBzwV/i0f+Xe+61fdOXH8sq/LzXN39AcoeC4rClSM3EsmyIHdDYAgO4FGIR0ojiWEnps4jvcH0qYOjYkOcrogMvIbl+wjMf4cR/WjUhL5BnhyE3VgCVQYtOSydj9S8hNEKATvyb2GiJPbZZHvwE0kW+kafNx5NWIVmLI1e9CGlFSN4+ZyRgro5eQbbojFB8nejcJINi07BQNKrJSatw5EQgAqYQuOFacow+CDMARgJqw2ow5Oe+FMuHvKVHfpHYyUdO1CjDhICBPNGv0YfRY4wyHcpEfecJQyF3zQlIfsYdhPDR9mdkBLX1Xcj/ImZXjqlu7eMwBHcPiEQta2J3GAQGDqRaMN5M1WWmSFNZLnNf7YaVEvuPsW911Wba/kiE4FswP51/casVZdXsmmyVFHTcWDKFqEMRyMJwfrvRfrzuG/9Nv9zljOn0eWg5cd2soqvkrD2/ZW93179eH659ve/v7bdM1Np9omLnGOeuPhZM5YhvHmYKVY2xCapJQBlkymUEhK1jICgXDshG7vKN4DsA4YOOASyhkqmFRwgIoWMkjcjMiN5Ipxe7fIZexwbFxxdFNNZ4Um5415CGLyshibpRyliypfpDbqrcubUIikswYG0REKSUZpPpBHiNk3AEwqL2cuJGG6mtDvCCz4njouB1iwy2Ehn7EMUlssA6oOHMKwPGIAzhxRBSbcGzAI7owUmcoo8ZsytwaJ/ykyoydsThpAbBu9Bi8hK8JCp0L8FVGf5L+t2bN/9Ij+EkPZV9M9efz4L8IhyWEx7cwNs4ADoBP5mbLLCvwwREgD+ZiYhaMu9hd8rRTxkJqApzWazWsW8Zk7i/tSexgwegUi9T3KkMv5wq1AdCa7U7WmOCrHKGcYODkRdo9uv3q16zXh//ZL/vpP3n6UC7ydbblV/384UsuftnBwdEfdaX57Ek7OWf4+7SVpWlhrQ1yWSeJo1QoQrKmyo1lkxKqauTFwo6ErK0AE6F8OhzYiEZ8NaMSihjX3wbIGNaNUNIAHMMyyMhQm1vltsWCMRXkpDTSSJ8eQIcCqsmqoAMAGUromQKEsiRjEOZGqDegKt+SzMg7Jl5UP2H9BGF5eIRQqfEiHwcowqBRnLHuRaTxOHJesN4d+RfzdkAmbuEKcx+JC3eDkRc+LYw+xRzypJMF4CSTeEKnxHwTczHmmCAxVkUeFL+qlqVLuW2+0cxWegQ/6aHsi8EvZf4dct3pNOyxs2DlpJ252u25MkwxELgEU9mBHIam4x0gmGRY3AKsMgJQMDMbFiDMyPXlPfneQo4gRZ0RdF+PKzkIZgBbmjcqEYeZRp3cJ03GduqXF5+4uv3ST/jt/QciAMaQTp+HmQO+5zccvejOL1q9+s5fnfTpa7bb2a2TyTTl6VRlO0tTKeOzyVg2sbOMbREuOTnKYlUjJMeyKGxMcWzYHDNAjx6JQtFKyEDc2GDhKMJQwgpGo8IaGLGQo0zUTWbKTZahfAUSfXqXlZAxY3MLShFmykApE1JHSohxYiAmxZh09wc5UlCinJnJbEMewAJRaZMmpw2PV94lEx8AKOqWAB9kv1o5WDpCHyIesuvEHcCJTXZERwaAZlj2GqGYV4ANoi7Rl8On1CR1+Dljw/ZMfw39EAY/nbF5NgWYinIB5hEPSjmNnvWdmuRfpcYj+sDZh7i/O5r/Odj4QyOcNHMZC6wtdpobOOmcmypttxphShl7GUxNCFKGeYbV442rzJIGzOySi8bVUi3C1rKLDRfD4lnhGBwUFlDCvC5YPEqjtIs5fK7VgMnexy/C1CsjtN26TWmhv7u8a//7y6tWn+V3+NZDPNvT5uAAimT+Cj+7etHBJx+96tLPZm+/vu3m75FmXRNOYm2ZfI4sVN8NIoeVIUDAEkoOpWQSyqEshUIlMCazhVsvgCTAhDVmvT2OU1i9RigsHDscZREGYeU4ionYCSNF1lL3hCrYSCN9hoUTwFND3pVMSr7pWIXXwhgGSZDRN3JZeAsFjlBmssxAE/MwI4d+AkzCYofEJhqAINIi0zj6xJHJABJjIzU2TANYhHxqcFl0g4wbDm8DRIV/KqgQGnKv1VoJ694qrZUBs0K/I/2HddMA5mqYaMwDq0YMS/ByAzCMgKE6wK7YwSlW4D3ghMb5r6Rp8+1mtqDUI/rEEB/SDu02WzSp+TYv5SUuSew04mgV1k7G4hGoLCye0iSNoPXIudQhwYYE4xrO22kCpwKAkD73QZFf2MGO7rwsP1jiXAZUeoaNoFXgMZPh42l3ZsrTrJGVHMsgY2FTb+ZH49stLh585+rw4Pv99cunu3ui9unzZnIg+OgcX5cv3/+0w6NLv77qj36km07+VjefTVKsOb6bNG9lWKLGulhHvDNVmUhJznonECLInMEEsWZCCZ3NKHZ257jkKOMJaekqYd1AocwjQLM+WqhfrpCnUanJytU/Q/utyZAzw5qJ9BSyhfWdICPNKuhEp/R97eH92mBcTpzDUCCL7LiMpbSJIb/Iec2LBIqCNSPv1CAvZLoSQFTLRVoFHPIBoILfpnBUGnEKj4SOFVfCXwVAiQ15BHCEpVPCkqOeJUO2C+xhnuGKmE9lk05iPqFPwU/PjC0zUijFfHk3SAClk2XZC+38gc27f2xmd8a4H2liGA9Ll69NY/kSVuBQYhFhgGKRAQXtzpXx8SR8OIX0wo4QzFc1NynLyiUEBeGVTXJl8igWEqY3COPqrj2NlxdKnOszgudQLE4hX7SZzmwphe8Ai0nMDtzSpDSarts83rn6hKuv2vvl1csPPtPdJzr9PGgO+CU/s3rp1c/uX3P5t5qVf2876d5j++yuxXHFw8TnckBYrD4xeYsUBGHhKhQ28w7JyGP9Y3kdsHHWV4CNo3ChbAJwwgLQEUoa1g2WjQgzm83IpcKwWCrWPhQ70W4OJQPYQgmFvAkru9B/hJs000YBJaHA0X8lXpFVBoX8hWYqH7/yXpw3ixIbYryOtVKCOBo5cocsKcZQ2OgcYAkfjlEvGimEGyq1TJRz5mqATibMXJokZD+c4DHfkGdnjgJsEvPMVGvcGGbWQPnRTB0bbBO3w3GLG8AJv0d0ZiQsvJeclABeyyaRLt6ZhMS7Z/tza+zzzOzyZkKP/Hd6OLpkQiVPJr/oZfxpFmQUu4+wbrQDMuP8TWe3lQCeEASYwA6FULFYRFgYuGyucC6m8PF0SSMmrrHYLQvUYHb65UOVy1yWsTgZi8cG14AlNAxrCaYb/aSdiUYELhbCZMpj1myc2Xw9efJ4af0th398+Zf81Ycf4a8Il7ROP9fBAXcM81csnnz4Z3d8xeq1l3679ebfN9303ZrZtG3i1+hsEgnAN47TATjCqilQrEEBcAoKEBsNOqRQSL5YGTpGeQNsBNgUdvuNdcNGE0cqNhcBPgkLJ7G8eWUaOXYMgA6CgR5ltV2nxG4fO7vThwMoHqCD/BhA5PhxxHvkG/kV+CgTnSNp4EBhOFg1yJgjhxtyFZRcSkKeZQyTgqKgPICGY5MoC2xSgla8yKivQpz0EmUAlsLcHFBxZLdAghLAqpjngglh5RgAYxHyHg5wwwKKTTh+HJuLKY6ccSqIOTTTiZr5DP1oxOQlgNVzUiI0QgNYahw9EO9BnlzomatpXpZy95lq20f0tipYd09K93x5KOMs1JC9+1osmT9iyu70NLDwI+hcQQHHctqaStNWIwwqLJqze3gsEnGZywCrhMA0ITy8FxajRWLtCFP66qF8/0hisRLmZ/zKNBZ3rH4eybYQxHOdbLuRdyZxXrfiakvSdGy28mL84KM7Dn5isXfH9yxfcuXDUagJhU6f++CAv963915+6QMWL778DevDw9+ZNrOvmUyn78oxeGrcRvlOqxTHJ0x+tZK3LgH4wXdjzcNyDcE3liFIZLMcCgV01q5wpBDA4oCJAzSGf0OklfreK7Hjx7vzPrLeoZCNJbVNh7I1UpNkLetMX9GfImSzErIjlDHyhYwpmUIOkUewI74lRkucbwADGVB8zEwpZeXcKhPGeGseYOID4EJCkioQVaABYBJ5J4AT8xKAsyEAbRxVZTvcCABrteQIxdFQgE+AUPxMxACnSoBdLpJocyQ+MDZDFzp0ptnZkmeyGIMDMJu5MZqctAGdJEX6McV8KTMg9r9vKX2Ktfb/GB4HWn+LPYzwYex7opeo2FcP43BxBEicRQ/rxuIsyjErYfEIU/EEeFgajewgY3j3VWQISsJCylCKuDFW8imkWJzhyoGGi1elw5XiqNWyQLH44ecZCyZQ/NMYuwjmmYl8TuUWAcBBmFiwqTJOatttF+2n5gP/L6sXXP0P61ccvY+/+tUzenmbf1Cy5C/3M4cvvfQxB6+/8qN5YT/fdRKzNgAAEABJREFUpfZfdvP5rWkCisPb4Omw5SqTUSJJDWhCaJA3sDAE31wJ9UzOd5GcNRJKWFAw52hsgE3CZ2MAS1gyRtwBljhiJIAns9M7ijmgoGMoKm2Jdg2QEYBiAIshH4owQC/AL/5UBqtLDSsNpaqQAA5jYVR3Pyiz2IgSKSklJUvRuhxlR/xkbHBivAUn7ghgFIAk8ox6xlSNehTmGRRAYwFIJ8T8xHjj6BTAEhTziD9ituq/6RX/rEuQmFvNjzpjUfRT6CP0AbBQxm0wObOjhJ9MAKq3ptiMrUkKXihLDB59SRAvOUnZBMsJEficfipP239gnf0+Jd/iD6N7+MYQiJon+XllLF+BFTLUxWJxq5BsT5XObSkH4WAeEZwBfiGXLGJBLoPlCHNyGZZO/N2Vplm9jchDkSO4sajhWB4v7ssO1hJHL2M3NCyi8OWsWdxCfaEgxg3XiIIMk6KBNpxpJ8+yka154eeavfEz/PV7v9lfnP6yv+rwY/2i71Lkbe7x232+fuXhex6+8OK3LBeX/nQ2tP99u9v6mPnW9m5dAy4CxjONhh0UmivwBkXPLdzsTEIZBDsr4JjLvcBf8tDJxFKGUoYSOmAjjhQO4BQsG7FmzjGqHLKGpFtYOtUCGjg2c12MY9Ut2s/KyEIAjbBknI2o0F+N039YVpEWSmkoZ2qTUjaFlRULaUYbRAygEcodgMMr42SsAA3D5TXLUjRKPeSox5k7EkZZYyo5UaQ+JRBUol5tjzDajDkKcDLaN8adoAyYbKy1XnHDNnI0dOYZFk/QQPshz5WoG80Xxl3gZ0HmjSOr4Hts2DG/BOA683PmF6SGMcOLRJoIA4DAagE8+4j419gkf6qZ/VW0+2igayx8uAbDZMtkMvkJdP/HWZShdphMwUBxuyHAx/DzZEKB6Jaz5Cw4i1ZYyBGLxcPTCDMTu5fVXSxaKQBPryrE+wuVu8LiWUsIdOyexqJ2feJGHeWgDc2y8vm5mnNzad4qHG+l7msSOcqsZtu3E9svHzD81eGP9K+59EvLF1/9An+1x21Xfrj482ho192b1av23/Xoz/e+aHHl0i+iGL/ate0XTObT22wLj+SMBZmyLNA4h5846b1LUuy0KIYQeqEkMJGlc4iyciwFyUL6ARyxNAJIhEVjGKGG09hQyEQoyPDLpd6UYufBwgmlHPF9jFgOoUShUJmNqdCvzTrFBuQhD1g4miSJuI7jFmPKLjqXG3LiI8CyoQoQ7jKXAjDKyODi3ZKsyh7JAM36cKEhLBWKZfKCzEyKeshmWDZOWIEi2kBWHQtdARqMOywapx0HYASw1pD2AmTqfJm7MWd0oo7F4ZMpq46XMcfGmHBFdOe2kddO1SfGvBBTjYQKkIX/Bb0orSQAx+M9hggVK3dZ1rPTXd3/ZWYrSjxqnvRIjIRJX81l+FIsk1/3Hk7HThNC2jWKf7Ki4Zza7G6pxSMfjrKcsgpyHotqMg3Dmne2y5bhgvwhYIk40MR1+qC4ARgBnvEiwHOwUABPCG1YPcI5N7LT9GOvMY0yHMzN2bma3Rn9TUVXLLRrdNpnlZpmpty3O2nf3i9fHL9pffvl5+2/8OIPXHnBxU84evXR41HQ9pHg2cPZB3NId9xxx9b+K+96p70XXP4/jl545cd1qF9ulf/dbDL/oG42PddsTc23GjnWzHgmaUT2w2LMjYMxSU3KssR6GCBkptAclkxSEbsBT1GB70IBYz2Ewol4IXRCDwDConGUL5QwwMgBpJGjVYANOKHMegB+yoCaoVQGqKRJI7VJEdeUvkkLRRT5IotKcgAH6FPgAwO69hjgomjYGSO5xthzykqEAkAK1+794ZFGjlJG5SSjuSx6IeZM0aUAlzIQAGKATRmJEyLXivmNHMVK+CaZp+ocCzKKhcN7od1rFOBEW3BOqmMxgTtsr0WFeUzQiRad0JQ1AGgDWLBatOFDksODSgCNB1Em+ICF1MOH32pa+3g28R+32wyFoItH0ZMeqbHY1tZfNYN9bh78j1WBh4XHVrWwbramsvDtnN1CuEH1WaMAFRWXsSuG8zfMVZYDZpvC2klRZobgY9oXLJmEIBVusNYX91QuH6kCDgIgFjuzyxoCPWDGr5YLFXw74oig89Q/10pbJtHemAuyR4dmypjYTeq6ps9PmV7Wp8z2/CfT7Ue/t/rjy98+vPDqRx398cUnODdf7k5lPeo//kfeXn7F5bOrvzh4xurle5+7s9f+VFra700mzfdN5pNPSNN8S97CqtltpS34MjclrrzVMb1WshBqwsK7N5KIK6MuaCfsIlJkKJthtSTAJActSeYIJZRN8L9ghTpWTOy7eW1YqaaIj1gCI+V6jsNDrGVjarFm8gyFm9JGjAPyicunQZImSRYbUABP7PyQJ5Mb4yDbjLaBCkOTk6OkUGHAoyX1lOuTS5QRmuyDq2dzWi2W1SIyc+WG+syzOPJQoWCUIgzAAWQMQE0AZma+mXkZFA7hTZwNDLkTlo7WKwkwM9quvhvAJhWacvonGAncMv0SManMJ+puOKd0htM9euENeVlKMR54L3hAcVk2Wcwhu4y8gU1zsHKQpu13W5l8nM3nv21m0RO9PLqe9EgOx85MXzq4/4t1GV49HjO9Ljy7lM06xdk178yUOGoZzHfSkRUpJRnEylDcVBcAczoDWAE+yI0wJ6UAHgR83D/UeBnwOULqEQxbDWo4bjXsPBlzvazXKiNIhCDrPNbOhblsNyuhcImbmNK5hrKizIquTU0zQVybZIOeYIvyz/v91X/Tevjd1dWLPz28eP9frF92+Dccpdaj7AMgNsvXLN/+8KV3Pftg9vofaA6G3xmOFs9HUb51ZtO/M5tu7QYPM8fNvNPJCAVfN9QoQsOSyGBRYoNIyeC/M0sUn/VzdurYGGpY38kK3RwM/YSKBM/ksLqgpAoFBWyMdXAsmoELgDVr5Ciic0GQUaRuMlE4ScMvEyR2dHUmA+SsS4SmhJJVpTOxPhsy1t7kWCOSGFdBmxmSPJmKUc9NYmxpTNxgZoj5UWY4ONRy74C8oi43nPobZTNaYvAqsizBRzmAOmLV8LLpIxoHfJx5lfDJAJgFoCnMxUhz0kYoQpHmWFLiY7GREk+Q0X+mnR5ZXAY+zCaanT8jA2zG1jVmKqADqeukJsAHvgfIsCYBOMGH1CRGybxzupjb9nPSJH2xnbW32G9wGPEDPukBSzzEBZrt6fNB9s9ZD/2VHkskhE0IhnCOCaYLhhuOZQN8bHsqnzTICsw2IfCmxKI5NMYioSAWwBPKgnBaKliWrhSLjDCvLwE8l/clhDtMfOOWIH4PkepuO+CkXKkfV3J8FOnCltKFuXR2onSmrSDkcxa+BaBslOBURvlaVrqzbtKV9gl5nf6u7w3f6JcXv7q0O194+L9f98sH//uv/t3Bn931aeuXXH2fxe2LJ/lVP4/QzqCsh/gTbfodvuV7foO/zp/av2zv/dcvvvgZyxfc9Z0Hf/a6X4VePF45+P12bL59Ppn/462trXee72zvNtvzZDgmDZ9B2kb55lmG1eATFAxhL61UGnjeoHyZQceOaq6qcPA+oqE8sRaGgm+UnLKjCUMABaVsT32smzAUKvtQ9hTvrMF4tNaAko4ocrIEiEAoUp5i2UxQIsBlAzimAD7xLvLFGosxgQqK9ZAxtnjsOIIC11iKxTLkRhpik0EeNIhqrayYQhaGvSMtuf0MkJig1E3OCjEM2TK5Mu0yEsozl4jTRyIM8HA2tvgl8bBca8SaCSoBOMTLcVrkB+CUAKDgUdRlfAr+8Y5RTdulAoa6Rt35bTU37kqzToIHkWakW5tlMWfARZBnRsFYBAjFzRabd69kv6ZJ/pA8zT9mZphWdPYofpjBIzs6mDL+7h/87vNKKZ9fxvEuQgbAwiJQaYpQADSGvyXtzhWhh8WDcsSOhbgosWMZixYCV0L6Ecg07/DPdGqon7KzmAO766AmdlMsngHw0dUjJXbYvBoVwGMAT1g+zpFs5Bzv8fueicnOdrIbZrILAN75roJQRiFzjK8ueogkQw5lsWw55ZzVnpmMzdOmffd3Jn37Jd1S/6kcrJ9X7th//sErX/8/9l9w108cvOCu79p/0Z1fffjCuz5n9eKLn7B86dVnLV505wevX3H1fdcvvfye/vKDd1u97NK7+kv336WGHIPWLz18L3/l0fv1L738wcsXXX3W6mV7H3f40oufufjzK1++esmVb1y/9Or3HF289N8Wr770q8u7Lv02gv9LyfL3TNrJs+eT2YdOt7bfbra7dbbdmTXwyGyrk2+38p1GZStpnEuFKZaG+RAKi6JSazLmqkyYjEyBN4AI1gT6KDQFHkuhoD6SPkqGE1hr0uI00pMGwFike5LzXuBzCbBBKR0QyCmp7TolwKTStJGzlgpiMxGKZ6QlFC+1WWrgO+OJMcXaKz6bodEp/YVCR5rzFVQkQ1ayZTWpQS+zHMDrAZse/5+QgybyWT1kUgA4FeKJykFFPo4QshQhYw4QEWApfFICZMKi2RBlA4hoP0AnQMkBG3Y0iXrBM6PJaxSRJI3JlNhoZxfOqT2/q3GatQF8MpE3ASwec26SKvjAh0TamJhyMnmyi5bSN7dp+smTyeRPmQcc16P+w/Af+TF+yId8yLC1tfWjLMa/Kf1wubAwddERgEB4Bzw8dmKsnXRMBYZXlIfZyYxBuwrb6gDFrYkQUE0a2SQrduyUixBjdexsfrhUD/isX3dJZW8hQ+DEGV74EtqjQemwVw8orckbQngaKe1O1ZzfUT43k24AgM51KhzBfDuJGx1lrKsqCAhEyqRlFChlZXrN3rQNQDRNk9s4xrzXrLQfOxmbz9rqu389WefvSEf2Y7a//um08F/wvf5XyuHwG6v95fPHg/L81eHqt3Xoz1/vL3/LF4tfX109+h9lWX4hjcNPp/X4k92Qvrtz+/pO+Yu71H76fDZ71mx79u6T7dkt7dn5dtqdJT87lcVNHVabY8kEwBTGrZ0kbQECcwQWEv6Q1CVZa2LgMuZdFTq53CBBKHOBeHgT0k5ddusSYIMvJEBHhFbJlHtJkAXQoIT9wZFGrM4SikpWzllNgM2kU2wyiXWLW6hYP58wFt7tOBSAVKk9AR2pJPqnHUamGNfoRUBD4KAK4+IVoPB6rMtYXmmUxkWv5dV9LTh2D4BFSknNhPWdTpSbLOPdmiTxBDmtFYAmjlMFa0yMfQy5oB3jqB6+mQCwcrSi7bU8ZIl21Q+A7wgVGccnp42Qa2eTNEkNzI1wNFMPwLNWyhfOSGy0DqimbDJA1pivMR6LtAjhmcUYLUnZBBCVIfkrlJvPbM5Mv9K27XU0/5h5mMVbZqxm5pNfeO53JNeXjuvhqAA8gtgzAI1GCQsnjlraQeExOQN8CkJYz7kIHvVEG5ALxJdnQpTH5p0MwNK8EVudiiMICFFi4YXgjPtHGq5yhj85cuFjSOzQDTtzwlFpt4EAABAASURBVJk57K0U4LPeX6qEgCGUwulsN06ULsyUzs/kWArjzGQzuphCneRQQYlLOLcBvtQwB4Qlp0ZNatU2E1meKHfz1My22m62M+3mO7NmMt9qp9u73Wz7zGRrfra5Rltnuu2d3XZ3a6vdns+a7a0peV2zvZ0TPNFOK3GzpACVnUbDblIPsPQAS79tGgAVnyelAJkpvJkgrJ2r/oAPQLY0KmUUxLzyUPL6mLtSYU68RggD4xFJkpIojOXCW/jKAPRUkmwUQOOy9aAC0IwoYw/QxBEqlI8SappWaQJxHC6so7dJpUsaoQiHRiqkGbwzINsytRqTEmNnjE4XJ0SXcpQR5auAMwCAZURyAB0zY4gNS58UYDHgr1kBNgXwaFHmdtrK6KfyIdEiVKwwvxEq4GdRgETIS/W7YB0LsmWpm1XhMiKsJIu0kBnCNDA4LJvEOIwxZJplBEp1LMblRIGHrpExjPB51Ujp7LbyTbuKTcFZGzHXGJc1kgEsCqIsk6GwIOZjYow+lOS/NHr6kLzT/YyZRe8UeOw8zOQtN1j7xE8c8878ByX/imG5OsLqUSwajJQQuhRCio8n724pYfFY7AgI7YjQCuRnVWUp7BlaSKaR1R5byVH8xFFCcZRA8dSJxUJoUCgbR41HCy2u7Gl9+YpGzH4kTcbOHL/tabGCOgSsjT8uvLrScPFA6wAqynkZZF1S3u2UcUCLY5jOAYpn240VRF8FIApAqmHnKk2R4ydRawrBqhTxSZKYR+oapWqhJSWULROP3T/NkL4paaEks1Y2zdLsmOIqe4t4hLOkxJjiT0Va2mqbrDYnNVkySFBGQXPDO8prKBiqrqTgRyHxHgR/qpBLoqjEe4CQyZTQ9DSaBJ8SjQYZFk0o4YClOMCjNVZND5/GfhCVlRlEw3olKEBGHfWPqRA6ZIxd8CLmkAIMYAvNS9kks6qsOvnEeFDqeK2BJzWphY0NYQdrO8YnxVhWl65qzRoXgLCDHzOOMU1jyvDeIM+jSho0aqCPgfnCB5zZCTL8QFqPFWTExuMcCRUUFs2KSQOs8V5/h0P7Dpj4SH3GlwAcGoR1zvBNllKlmI93nUKGZzdfUMaKHljTARkYWR8moCgj5Fg0YhEy7ppmJqWi0fzAk31TZ+Wfzs7N/tKsrpIea5/0lh4wjFu3u1vfDVe/BGG907F26gIaI0NoBfBo3snnExZsBk0l4mXSaWRB43yLPsSeIPEuFsqiHmZ6wRpIOxMl6ltnMhZTKpzGihosnwCco8tXFQIqjmCZXSsoLJ4QNg2jMrLUHhHu9XKsID/qVRDIgh3vjQA4WAgIJSyOxO1Xs0t/gJ0BCEGaA4oAgwMg/dw1zIuGWVE/KVpD/ZT36agRayRomJrWUA9FvGe6A9TPUKbjMqV1ib7VuKwNPsXc0kbIkUMLbphJMV/eq+AmUxVoS5JlSRBxJxZEIBmTRXGieiiO2LmFNVMBeZTq+5rSWIQFoBn3V+oP1wA3iggg55zVokQdQNkAlBmlCkCJuauCKH3CBwNkAmxSy1hIimVjKHV4Dl/RWBhLP3RJCYbllRILnTwpMfYYat2gSDPGKCyvAV/N8tKBhr2lDBDIgDguf8Vh15hUTNtQXnYY3npZWMEBMuMgBQGWDrjEcangf3Lm5hECNjUdgFEADhazRzzAiX4EGWO95+PBRxJwG6lkqWBlaXem9qbzSmGJI6e5bZVylgE6AcrVegMYY/N0QjXUYw2Z4uAp/V4zmXxKc2brOba7exdNP2afWNO3+ODNbDH59m/+rpTtizlz/9XIoobVo1hJFkQAj806GZZO3p7JZlMlyACexO6ecq5zSGZUMeIuTFANKGVBwBMK0AA8DYKfASRzoY+uacraZstsYncGfMqVKypYQT6sNZRea++1GnsEkibZ5cOQjePDcLjQeLDUSBgCKq7gQ5gNIQmFSvOsBNhEKOI+Y3xYQZyw1HSmhp22rSS1uSincUOMN2cXO5laBtmkUsOM4DVJatj9eRBUkyO0BW1FGDWSWAU1I6QULG0i31TgxghPCmraEx8IB0saSBsT+cRDKSq55ChvVZZIiHhh3ihWIi52/HKw0oBFE3NX+DcGaaJW06ZVM50qAzYJ0DFIHWNgjqWlXeIBPuJdjcmgFPFM+0EERv8EMuYUIaggjcQ8SdE/FCAT6UY8laQgcawZWIslt5Q9YUOdaZ6o6xhPR+eh7PBE8AgWCDQiGJVo3JwJAjbG5iIAp3D7pOWgShyjHIBxLJsCxfyrEznK0WeMhaVSUAB05ZskM+Z3TLSuwoAbLJzJmV01N53TGLw4GZNJKZkEFcY4ZKYKIQw1bZCzVuWqN/o+m8w+znYncZzCGaDH9IcVfXSM357znJJ3tn6oK/7svOhfXxeaHaQgjaVhMaYIMTvniBILS8KxLMq8YRFNzkKGcBsLZiioWKwqFMoIQVLUr0eTLYQQP4jh51Anjb5it/MqOM2Y5Oze6zv31F88VMa6meLvmQ6wCGAaAJ+eK35xPGstKRf4xg2YIZiKeuyuK3baAV9RwRJy6jiglgDMHEc9xmpYaPVKFCssnKZlYhoBwjqPmM9Wls9NBZAaI48xDhzRekCpTyUEUGOEzHGAL0G9Cv+50EP1pI0m1AkiFOWMNN6EvQU3ihK5SUUGCXIAxlBsI9fINfigEOsjlx0Uad9xwgOyzNGxcpI1SihIgueJ9dBEEkdCAYJCeUBRiXw1WQXwGVGwsXWNAKqTv6GsUYyAvqVEzCR3iJAxFxsZ2aACyhdKBom60aYsSyvJ9kat7jrUwesu6xDAMbla+FqBfkY7MS76FPwqaZCnkS4IY11GYa1KMR/Dug1gqSAKkJblSgXLpgBABWsmLJoMyOTRFTJVibGaGeOTgt+FsVlCSD1pAMgKABdzD99NwbppHndWwrEffkdjk6ybAjyLjTRk1+ClMdYGXuUMf1PCcOs1Jn814P0Z+dz88+wx5izW/XzS/eTdnfUIxSw05Iadnyspf9LYD3/RL1fuLH6K3RbRFAtm7KahuGlrqgarJ82nGlumgZA7iy0zGYuWciZqKghjpDsL6lg9seMmFN0CBLCASkakbVSxogSYdCy6ARrrS/ta3nlFw5V9OZZQO7g6y0oIrLPrx9GrobwpyVCe1lrFf6mkejUb4BMWUY+fY8Qp7ZjqhV3UOQaI8kY/mR0wt61SA1kjRVv0YdmUcoIa5aZR203Uth3xFmqUU1Z7QjmrSUkxllamRqqErslAog0lGdphjC2VjB4m5mFKXHPnwThtuBxf1oAl03OD1x8sNKB8WJ1Mc2QclEexUkNZxqYmC2UQE66ht1LwNqxKb01BRrlEHapwCjTlY0U1o40kkSWZq0BDcvWkDQza4TOaqxh38sw4o2xXxzgA7IcXr2h5F0diHMQCDCbwZXtrpm7SqUGRU5tUx5VFRVafNhNRRgXo8M6mgUbTHoDKhhGWqhOG8zviiuMzlk2ATZAAnpA/sQEyhQoysFLAF2OnYZ5krDnHdYk2mdiacOwazS6c1fTm84qb2BLAwnFPIYdBlCtWVJi/gicuqhcNHPf6cTiyJv3wtJt+aHdm+7+bWU/uW80T6/GomgwMLs2F7d9KKf1jH8ffT0sQh52nCopMqgLfqIRwhRUB6DRbU212jUYe6U2SIEMhDaX1jFCwyBGKhXccm4njWsYCse2JnB07/CQDiOIqauhnArXrgvWzxPLZw6G8j0/nSAFICalLKLQjaAXTvCCQhjCncUBJRhRMahGihjINO2RCORLCW5hH+JFGrKERBR/xEW0ACZnCeW2xg6N0hrPWIgwahQJCx6EiHHinSi0TZYMiLSjSoVTjxnhNwkJxaKx/yT3E/5hQw8EArTUCMuur3OhhpcVvS1wMPEkBKglgzliHOSwIeGQotU2yLMC7y1IQICMUKpQqdm2H78F70QZrCRdNFiALLwS/hCUgH+UR0lf0V9BmOK0RK0SAYHK4P7ZyeDIuRq1x5h/dtaf11UO1zKNDoVs2jJbNo2NsGTmoYMM6K4i1plOJPox18aFXwUqtIALAFPw0AzdsERrHKANoRJqwdAzwNdbK2BwM0TPWr46bsTuyUZLLmVsxQsZvJjVQTkklm+Ko253d0eTGc8rndhRyOlLAGbPYMI0wMUZjjMmSNkQDPLwUROtFNmuf3aWzn2dnpi8zoyO9dX3So3E6MLp0F878Qcn6ZHaaX8S5PAjhEQquEGN2isRtRAI46kICOol3IXxhDTn5hUU1FjcRN4AqTg0lm07OzSEEjhBoq1Ha6ZS2O2Xi1iJMCc1GoLKZWgRjgiQYwjpcOQCArlbrp+A/EKCUkMCEUjmyQU2FMjlKxDAl2lBwOCNRjCcTZhKivIUwB6gADkKRHOEvCP2A8q8PDhXUHxxpvXeoPohr37j6XRMOWCIj/ff3JOr1x7QmPa781/trrXD2rgC3FVbCiEIVxlwInVABhoy9a1ptrKlWDUpRlZjQ2izrkhQgU4l5TKAKNlneYj9AapgqvCJHwYeYN2xRVfzgS4IzWSqEYyqoriSwzTAMGkCmg7+TsdFkpBBhARyXgMzBnVe1xDHsWJZdajTHT9N1EyU2lsS4UoyjSXLaxHxTpWi09sAaAjpCbhw/jGG9JNoJR7DVEMZjeQboBNgInqQAbzaQuPqOJnOsFUM12vFok9BibZOEWCjwwOkPGNfC+AaUJzfiKL5hVwxWDkCPjcnY5Cw2O8btyKRn0hKNIBMGcSsl6Khk/cBktvXR3bkzP2Q32J7eSj/M/NE7s9nZs6+wmX3q4P4jPoz9yG5l7EJotoSwiUWORY0rx8RRKwf4BAFAKRaZBY5dFPlWbhpZLLSZEEch5yrkh2AYO2bC4kmAmLGzG7somy3+IskbFAsNyTmr4ygUZ/qRG44l17GL190FACEb3HwZyhvtB8mkEQEt2TWwqweNhoYll2VBhI2UaDsxj01oij4a+uiaTkFNbrHGW5klGdRYVpMaJeKGsGZLOqFIi3iTKMNYG4A2037bZU0A4wnHjxh/Ax+atlHTtcrTiUIh1GSJcdCpUtfJAmx4r3NnDt6IfKvkFPVIC0rwJ5nCiMkyJShC8YEdKkkamHP4mtYqGhmXjPGDUolGU2llfZYOi/zikVa3X9bi9tfr4M5LVCzams7q2Ds2hwYFVkuDLeNo6aAzeRCbhBrimTz6ChAo8FxYKUJeCk5+ATjOmumEsGoMq9PZSAqXFo5MRRhWqwM61bIR6wXAnMyDHpR4b7DGguhNAaw9fS5zUXd+V9Mn3Cw7t43l3CA71Ogapgs4U49Rwx3JiJjxRT2XI4fuY7JXqZs+Ow9nP9/OTv9Cb+Wf4N2jeop29uzltvMvWpb1vxpWq30PIWGHiqONWVITioMSVX8vICR2FUfJhKBW5SEvZQSbhTYzZeJNpKFohqC6VJUjFEk4cI0jl3DqOpZPdfBOEB6c1+gHQuZK2dShlLPJBAMA4QLs2rnLAAAQAElEQVRwVvgXDv/qLq3uvKyR2x3DJ5TQxISGNqhikvEfHSFkjhUVO3Ptr6H3qkT0EWG8o+wMUmJsFmNkrA2AkaHUtUohyKQZlIJqWqRDk1YG1XTGmOFHQlkNK8UIRSgc8nWe00zZRgVQKpSLI6ajxEKJrTFZllKSzExMAR6hIihKpIci6uSDEpIsmdgLKEOEWfGdoKysBp8O34Wwb5RXKCFO+uHKUuvXX9Xq9ZdwCF/lJnClzhrNWL+d3bmm21MlxtuwAdjUVMc+w6qZ0g+8grVSKpCrcPXtUMGiKScAgh+ucGxyAKbUo9RKETrWZFkTDwCKstV6ppk6WdWPM2daVj1CZQlQkEjLQbJ6fGayGlirfHZbc8CmvfGsxOZVGFuB12FJB99yw7xTxugrDNcJR0mlgk3JtseR9Ft8Nv3w9oatH7Vb7YjMt/onPRZmaADP7ML5b17L/+nQD39c1utSECYHgJA4xY6dEdaCopXYDQEcYe0gwTKUUCiWEBAjPwUBPAkhSxkhJlSE2VQy4tCRhp9A81baahXkHLsKAj905AMMgwaNXKkn6kywDNqUNaVyRpnGS4dVmdavv6KCM9pIy3hJ05AROKMByEVc9VPKiAiWSmENuZEZq0LbIbTKFCNukBqTE1qTZDHPE2LM9Z1QCH2liFcQob9IY+wBKCAAbbgccHHSvJXG7AqrJHZuTyZPqqTEWKwAlaQ57QCkDiXiFuGYKJJkVHa01OuAeceKMZzUFj4qSIfM8epa4x2AzO2AzOuuaNxDv+J4Z1nNfKq0A5oA+NXSDJBhbAoC9BXzIB5jLvCfDhnTKId3WMCysGo4MnlYNICNAzIO4MT/OcLxCQmLxjm+Rr6QmdgUDP9b1Ie7ciyRCCXmam9IIxMbDf7A8411bArjzHbmmt96oyaPuyDjhqoAjmOXqoVTZQ2ZMnhptCfqK+Qs2qcv2twryX40N+2HtRfOfMn0zPSlZhZotBnGW/l3eqzMj0XxnZtu+Gl13aeO/firOGdLCFGc1zVwPmeRwyJwQGVIrnAPaJJls04GIDnA45RxBOEamalpO6Wmk3KjUOiCkIQVYihqRtgNyyIBQvXGi53MiGcELNO2GlFHMgQyp0xbU3XdTG3qFE7kguAvLu5p9bpLGgnLfi8tRxlmmXlmz2xQ06xkSYk38QkFcB3/Z7SPkBacmOi40HXF2As7vOdRdCIRxniFMtIk7zSSqRfzkKvYhiqYmep7xE+IFHpGgTmSeCgxSoYWyozCjEueaJCH7igiC82LtEJ6DCjeq2/KOCo5zl/awpc0XFlgwezp8LUXdXTHJY6hhzhzBzXwKY56E4Cm4yjcAOwZgDd46wB7JUAnAEYN/cZcmEfwRfDBwhfGGBO+GsOyOTk6Occl41o/4Q8yQj8auHVk0PDbcUgbfrME+w0fUvhlkhhvbZcyKnQUJMWUg2QBuF7fxWfN5BettN6ZqLvtJjW3nJPtAJTIibdJBZkz5Cs3rep6Gu0nk0gr9FPoY/Bh6G38M5vmz2tvOfvZduPWH5nZpmP6eFt50mNpoiyQT85v/+lklj4RwPlRXw0rZ7ccOLv3nN1DD/JsqgYK8zau0gsCoQmCwPHEmixrGomwAhAC4SiBIMtZGWqaRglhSQhKUiLNZLSRAJsG6ykDYon2LEAMsCmdacjIDXkO4DlpTp6FBdRONJttqQXYnHGuLx9qdee+VnGseN1V9Vz9njgxQ/QYAT3SHwJvJtQCoSeeGlPKkiXxoS/SHCUIKlHRUByAyCBBXt8pmkxmG3LisWOLMOKFdAfQEgqcTWponGYVfo0RhS4cm2hBA/mSwYekxNyivsKywHpQ/AwAp/Vw5UjDX13R6lUXtXjVXVq87rKWpCWsna35GW1tn9UE/0yzO1c+M5NxdBVHWQEuxjFPYH78TiVhccUPOgfmi2EoDESN9O2WJQCOE5QUDnAsmviR5gjQjFg1Iw70Eed64ajrvBtWcIC7x++oAJsMyIPNMvw1BnDFvMXHzGR2TEl1aop5A75JrkpOOn13cywbrJopR6nV7lTrrU4Fi9q7lpKmhgVK8DBFe9QxmAkEa6Q/DEIhb1dTN/nqbrf7wObmcz9sZguG8Db5wOrH3rzt3Lkr6Qk3fHbvw7PXi+VfGuf0+JspQwli5zMWP3w9AihKl8Ttq9RyRJhkOe9OXITWNbJkGwoAAnBKABKht1g+LWLXUC8j8w3Uwiv8DFVhEDrbbmVVebL6ZtDQFcjpg7IoUoEEIKXO1ABWkyDG0GTeUfi4PVpevIolcEWLv0JROX6scaiur3AUORjlK5MGOg4N9MTmCynLUEKzlr2TvDBvIA8qjJdyooxQGcmkSmJAQbyjEIkoGzPtxXu0EWRKtNGkFqOpUVqTh1o0i6R0ZZTuZEy3H2n9qqtavOaKFq/f04Kj5IpjUh9HF9oNS3O6jXLubmvrLACzDQ+ng2zLOYJklYk0dvAHsHGocMSrRz7SInSGQa91xDHGjMLaMCqxqRg+GFuu5EcMihu5tL9U4kbOiGesmoYjnBEGiPtqVNxQGT6bsIK9DPAKW4PGYZFkRKKDSoX3AsdcyVxGWkIu1jBo2UoFgGkff4OaWy8ocQU+dElxZAdENJopwoSsFMoXjVIF6SI6FGgUwWVP9gN5Mvmg9Piz/zZkV2/jn/RYnb+ZLae33vhD7Eyf5v3wa1g+oxCyEmd6rJ6YlwEkISAhRAO79NgiJGGFhKXSZDmCouCAudjM5IkXdixh8XhQlKlEvQyhFAVBFKEiDAGEGo4HGfBJ0ySbRDnai+MOShWKVUGOeDhE4xgRx4mgFutowjFjNp2Cj13onYQCC0XqLx5occcVHd5+UUfQ6vYr+IoONFw6UsE/En6SvHIUkj6xKKweHaQaRjxoOHk3ypky5dJKsvi1MUqq/UEjDt3h4kL964+0vuNAq9fsa/maPS1fexW6ogX9ruJX2hyXhH8kF9M0d5q2E01x4k/nWzh9Z8o7U6XtidJOJwE2Nm+UtrJsniQAxiauDG8CgK0JpXcJwFc2BmQoJ+8obMaKSvhnLCwpLJkAmRHn/Ig141hVOlypADgD8YJFExuOojzOe8OaNI56iTEqQJ32WAlVMleBnDfVLk1mYgjGcgPWrH1Ui2P5KuRiZ6Yplk33+Bul89vSFiDPuJ3xJsbdpKRMyOxktGnEoz2PPkkcNa6xEn8zNflTumb9uXbz9p+YGaikt/kP7Hns8iAWcfbEm36r2e3+0Xocv5Ej1mVAyGOHGw5QTnbKnLMSJnBiNxIAUhCOED6kTTWNXc05FiFBoj2llDaUkywIsIq8ICMvyEkvkCIv6rbU6bIyYNZAGbM7cSOUSIvQCEW5sLocqyf6c/KrtYU1JpTRArhwSHYob7eFwANGc9rZYuzzptUEcW3i6BA/5Ltrv1pHh6+9pMNX3anDv7xT69deqSCxIlzdflURLl59UUevvquWOaDcAfGD11zU/mvu0j5AdhgO3QATlNiwEpq+qB1NnZKm+Lmm07lm29vqGFdzdqq82ypzNLKtRpUAFqtAmxQWX1DcgtkkSzFPFDT4Vil4ZyYTnwgtKUFhHIh+DeukBHgAugm/jPALFcA3jnAW71ixfoC1RRjlfF3kAE0cBx2wGbGIfCQtlD6OngBHyS5LBSIEcIAWGQMIUoTIgifR/ag1eLDqGBNX3rNbLmj2hJuUiWuaFbdRpaECax7ylFNSZuwpdqriEn4mp/9CfChlGNxfom7yOe28fFRz2/lfsFtvxWvOvK/veasvBcsf+3O0M2cuTW+78SuGMn7qcrF48bjqPSEIw9FSI5YPQKSM8rbTqRIgEztajxAWZh9+nwoCOckgIVAn5IBKAExQpEVYifQAkahXiEfamE2lkUprcoRXoXhTErqssHQivaCIhbwIa1qNJwnAqUc28oV1oN0snWmlsxNoJuG8FL6QdH5HzbldddtbmmNhzPEXbW3vauvMOXVYHhOoBSya1KDnjZpmqslkS7PZjrbmu9re2iXc0c7OWe3unNPOGXwtuztqoebMltKZbSWORelM9NlJ8VOBGfNhTL4V48wSVkykx3gdsCz3oHhXKznTVjZZQ51kkh0T+hkKKkAirNKwUBQWzQHmF2BigErZW6vs8U7cDgYJKuQ5TnktB+Xw0/QuxyICX5RYTEP5DYUX3UR3QUp0lgGhGIIEwIkhGctoirzRitaA00pFw7RRe35X89tuVnPzOQmwCbnghl8D6zfGPNi0DPlIzIWqCpkSm1qQE5YgL3vW5u9od+Z/u7nt7H+2xz3uUKefv8YBluSvpT0mE8yszJ/0uF+YT6YfuVgtv6dfrdYdwqkw0QN4EHTHQZraVi1K23CjhXhryXm/xzwWAiUsoRpGHLKUFISJLMNSuUbH5QJsjLiTp46yAI6dUIAOaQ5VAJpEfqMob1hGqjsnrEaPHSn2UJJGWndFyxaF6FxrFHqYIt9YFCPHNxF6AAAWh85MpAClnUYORpQIw8e02ymdmSqfmyljnRjvQSIsAIbvtCpb1In4dtYAmPRz0wBdCyNtO2nYSRoJA1hskhR+mAosE5MgY24xXzFuY/xmLgMJDEVW8BTLIwCGo698wXmPdfDDpZyjUtlbAC7Q1YXGIN4jtHrz1KtESJ2C5RNWULQTfwOVAJdkWUkQZooFkWZJSgY/GUfwMwEomfTMMcvkZPBkKayfcFCvKTdwYza56Txgc4vyTefkWx1zbNVnV1iiqYNPtBnzCqe9aLMSMuOlBz97gAtK47p0+WfbWft3muHKl9tN23fQ2+nzRjjAUr2RnMdgsiEddsu5V24/9fH/Aln7rLJY/WkeuIoIMxyrp8cRWYZBsTOlyUSTrbnaDkFDKEcUhn1RTqjgCsIWLGATFe2SjugaiQCRjskIA3gUOyES7ycEYBXilbIh6Cgs4JQAGgtC+NEbBUVaAoQiHsDToB/oMxhmAr+UGU/KUuLFyaxKPk0qgETBCilxzbxFAUBEgIgTd0CjhC+lxrNGfCoBHE7Za2HEO1PDeE6opY8GqmGmTxQzJ44nGSVUkOp35RMMrv4LLA4FuAyjPK6wIQcoHH+L438JEuDh8N85LjlHuTgmOdZLwS/jYeVQXnGEIoxbqQCY2ibWKl3LWIhkpsrfeIFHmVRYSw7jq+tFIuON9XLeKa5kLkRCbow4iyNUUY8lJo6Is8ed1xY3UfnCGcCmVfzGBuBQWKy5aahrYRCpKVLDOALwYkyxcUUfVay8jJT//7HpfEa3kz7FbrvwB/b0p2Om6fRzPxxI95P3mM0yriOnT7zph5v59O8vV8sfBmz2AmziZsu5BRkBn3G1lqHNHRbPZD5RxlrpS4+1v9R6XLNXjxLCGoIrPiH0Zkg8j5LJIEfqDYBJIaRhfkMKAmAi/d4kylaK/GMSynBCRjxFmxGxRB8b0rHyhBY4WugAgRLjS6M8DZQrG2K8dkybcZPOTBLKGJQJc+3DFe+JyyRV4QAAEABJREFUsoKMdJkzyyKB0WInN0Ib6QNAMQIRKgAGsjVlV5RdQvhiDAdzBY2wTiAF4AAmI6AzckwqAM0I4JSIk184Kjk+JC1HGf4cYYVatBt9cEypfWGlOGMf6dwZW/jhnLF6HesoERfpwZPIq0Re3TyMacDHuKpeadQCnq2xyhLH08njbtTk1puVOKb6rFMh3QF9b5JgCktrm2aZmuGUNsYVYBobVcGKw2ejVfywsMmH3dbkB2Znz/+j2VNv/hG78cZ9nX6uiwNw+rrKPeYKmZnb486+YvrUWz8dIfmoxdHiBZjmJXasIAd4nN23CnxmZ5vPNOGqF6BSCOuaa9oBq2hk5xYKEAygTSGSVShP3lNKqulosxGP93uSZfKPSfQTZYJE2oYabcJUQweMHAVwLJCSUR7iMR78uxqtqEAxAGMAyUxBhtVRSS7sAbIJURBDgYNS5BMPZY73+nsVFDwUqQdcQpmcOZZQMEgcS0s4agMQ1lICXAyAqCABwJSwXLBUHGDRMSVAxOJGDIulkDcGuBAfKTtAI07icP7aYNIgCdwQiu2MjTeJ6Sf4x7IpQLASc413GRWMCoBKgIwTL+SVkzAXObza8GjUQPqResWP+YR/Zo5TePqUW9XcfFZ2Zi7hwxG+mgCbynszuoecYUAGLzTQHzyqPCOtRx56QHg013RndtRtz/4/+bYLz7abpi/T6edN4gBL/SaVf8wVNjPfeeqtv7Oz230Y4PGc9eHirrB4GmxkQ7DKcqnxaKFhgX8BxWxmU023turRq2lbjmKukXLjGj9DgFAQ5QoUP6I7IYXyBJ1wyEyCzIxgQ55MDjh5ToQQgHISr8JPehzJRpRvFGWN5aF+guKYlUkLvaM14IX6zMGVVCgX4QmJd5FukJw2oBgaQ9YJjShUgEweJfRTDtAogAYLxgNkOCTUq/UAGZy9hTRfDCpYKYZDN8poUWRBS5cDSgUaqV+oG8CF7ivh6M0lqeG/GAtYqPoxMYfNHEviBYowmTNqVyYXdlS2GNlBATROo04jrIqcspVocPRBriIDtCccm7duvEHzx9+MVXOjnCvvAZ9Yz43hGjAfabik6IGGARiDFwkGhTzEJiQ2GmfNC4A80tcaILamVTefa3rm3Fq5+fdanflBM+vp+vR5EzmARL6JNR6DxREOt5tvfl1z103fsC7jP1iuVz+9OlosHLM+IeJsmhpXgArvxu6OLCO8nWw6U0bQQpADZNZYRyM7Xghk7IZY7RLn/XrOV4i8833MIIS5xtglI3TkW5j8HpR4gRiXDAWwAIljSoSZCtlMCaKkzPgm3U5I8Q6JD8oSgLexdBQ5aDOd8tTBkB9jL4zHAnFQMF0jxovlUZhzYe5OaChYzM9D8djZC+/C0BDzLBw3nDD8qUZY+RQTKxLNQ5tOY7gpmVI2GVSQMnriXQJz67zIFlNXwyAbo2wl8QaRWQJdtfmYGfNyAKzI6CjRXqJMAM7A4q1byu2wVlgyXfyI79YbZDedlbBqCg79gTG4UYl2MmFtLdphDglwiTmLuTtzdXg0EK5j7vSK00vt1kzd9lyJY7T3oPNqPNQrfyO4Qsenz/1x4L7yWIn7Sn7rTLNnWr/7Dk98/nzrCf9kcPucg4PDP+73l70NrkmesOOPAozUVwDq0WWXda3SfKJ2Z0sTBM9SUr9eq18s5ZQLoW2oP3IrU9aDBDmCHMLr7JQFQhsRX0Qdgd6Ag4vGK5MdUPBkOiGhGDwRbKiWorgoc0wiDJ2kxchQxBUf2qrt0nwNaxpfpHO0rGVDaQ3QwWBQKrSJ8m00nUrxUDYKOlaD1wxMoQAW8jbCYjRIiXiBHAqACACIIxGvjM6VqBvWQ6a9TJWwYByAqJaKYZXEAHiXeS3PSGoYjcf8E3wmAda5BH8CnEWakzlQZ52KCsekyYUz2nr8BU1uuUHNDbv1+ORzLNQ2qWSIuomGAsgbJeZMc4CKASqqVOTwY8SC7Ydey9VKzFjx84pmNlOOn1k0WYp1JF9D35XV6rP0uHd4d9YuxXhP6U3jwNsk0+xWO9p+2i0/sHPr2Q+zsXzj4srVS+u9AzWWOeq3MnbAAYtmxZEraI0Yjq1JAT67W5qd2VEz6bTmyLXaP1T83U/D0aPhCBJ1hTAPOBvD6VgQ6MJ7gJGFsAeh6IYiCAVCpVQIC8oR5IZ8HxP3QVXpooyu5xMFg2pZIAOFtyD6iyR0NYJKdPEGYZLxn2QWoSkRVhJxACQOI8kk9FiWJIF0JXQRcijyw2IJgIl47bf2XZQB28QxRYaCMwiHijb/DfC2QAPHozgikSVFWeoU6kepJabVofc6xHk+zBo1N51RhzUzue0mpZvPy1gTY20E0CgAguEZ1FA/M/cE/wNknM3CAY5KrG8AzYLwcL3kZDkqcQkw292pR+uEVUMTEhtIrF3h4qGw3t4PRr2nlGH8Ub3otR/hv+5NLXf6dd0cCPG57sJvbQVtd/di8/Sbn5O3J+/NLvfti0tXrvjekTf4NjprsX4a9KRI3MIUrncLN18FIQ7Nyztbmt14XpMbz0nbM61wZh4tDrXc2weElkrUaXGmNlzXp3p0Qb2wgkbeR9p3CEmXsNatkoQBIEdRXJuPmcnMNi98RyyIqAKcInzjZLWugxRm9kaKnfS0yTazWsfMRITHKsmkoE1y1CnyChqjHCApUIBQpMU7TKM8fMOa8bBIIAdNqtXD/AIMggKckqI9l5EP2qhQJ66jV9ygrUnrAfsEf2ePu0E7T7pV09tuUbrxrBIWjm9PNDb0CugJ/5gSrQFWdbhsHILvBs8BChWsUice4QB4ABoV0JtJq/n2luJvxpqulWO1BtA4ZUaO08MCyyfWHX9V1C2kJzYOKr89ZX/Cz7/mp/wFt38g69bq9HNdHHibBp3gkJkN0yfe/PKtvVv/Zdt1Hzv06x9dHx7uj/uHsmWvjm28S53agdII34DjeY0J3q8RRhQjACjNJ2ovnFV38zk17LoFro4I+PrgSP3VQ437C2mxVuYWJ3OdHGS8OxRO7QAzP1YKA5Ti31NOEeJnMCwlA+iCQCT00hnI5jmJod6bhNC2TezaN/PTCfCcAFXUi/iG6hvlCS2IKKHRlhOKuUjRA4TFIawQVFsBGAEihpIngERC+a1QEqJe1C2EQWOkEx+xaMKaCXLaKmOPJTHIsD5s3UuEq1w0zhs1F3Y1ffyNmj3xFk04PmX4a4CPT5IK5tRA/ZGxCFBl1AqL0uGVGE/pBwlyqGCpFMAnQicvKDG5pm3VdqxbbsBLJguQOE7wABvHqonQqJdJj7bieJpY2Ep0aMUN2qbmR/k4/rfhhbf/K//jO7bg3unzAByoIvUAZd4msg1/T/vUm57fbflnD1vtJ+0v93/m6MqVvfHqvjsAoHai3E7VWSdhpRR2vpGbnAKQxHsV0OKKK/fu/JmqNPn8juKXrXHtPhwsNF49UgGAClaTYwnpaMVt0EoBPAO76oiwJ45pxlWzuIKuxLu4QYo+gsJCCmVyFEIcG0LJhLJVhYvdPQAg6HjV2IHBA7SER5EOmaEq5JusKlyEZkY5SczBjwml4tWBEywaAINMefg2IEOBE5SJZ8bhA4oOaCSOlQZ5BZQeywE6fs+MOaw+Mc64ql8A2vtp1OE0abiwrfyEC5o9+VZNsGgyDmE7uyXj1kktYwO0AsicaGJ8GUBOtb2i4H3cPAVQFMC+ADYDx6aBMQWVGB/zzhyZwlcTfhrDKjL4plhb6mg1sq69LOKkGWuc6MMAHStS9InBJk6VgiEwioA25YzIdWMz+hcrD+9dM06/7pcDp6BzL/bYbbcttm676RfPvtNTPr69+dyHH5XVz+xdvrx3dPGSC8uHrVwd4DNpO8WOOaJ03IbJsYJCOIWQOkIfOp7nM3UXzuN/uCDa0sBxYMFxYG91pKv7e9rnKDZgDdnBUpODtbp9FBRQCjAKy0grFDmItsMqcvoPpTDSbNVrEw5VUZwyAVr1CEDevcORY0Eou6GwYvc3KIDChzXAsJZ6CNAo9Z1x8M5NjYywoLwjShxthGILpRQKf09KvOc4JqK8dVzHZWpd+i70t7c80oEPWrUo8bltbd12s8683RO0/bQnqHnijRpuBKS3G5Vm1FhW0Bp2uwI0KjGG4K24sjfaT9EXPIl1GQHwehQCuAv8L6yDiqnNnbrpViXDPhNAUnnJZlGwNL2GzDfi8LUAOrHJ1JA5xbgNkFSQOxjjALH4oDqWFHDsgJoGzCDLUzJOnwfgAJx7gBJvo9lm5t2FM3+4s9v9k3Y2+XCk7bsOrl65urx0WX7EcQklappWzXSiyc6WuHnWOo5eBwcVgHIIKTdcBSdlj2iup1nNTbuaP/EmFO3xOvPEx2kbf1A37VD6QeuDQ/VXrmp5eKTDw0MtaGcNBSiN+BU8fsgIODkUP8gLoNrQSnawUkIRM5RQnITipKqUg3KEUIQWCoqSxe9sRDxhqSXqNMSt0pp2+g0BXAaQGeUTyp2hAJNoV4CI6KMQDkGAQQ84rQGsFbSAllgx8c96lq5RuzNXix9m512eqp13e6rmATIcRcU1t8Lxi9Im+m8YZwCZAYyVRkwM+kkof4wjfulcARlgcXjSsw5raOC4O+IkThRvU8OmMFE3martOmw5LBLKC/5FnUK80FdhfjEHZ/wCpIy+wprJSlXiE5aQzHg27zXx+MvMqrHDMGUpy7rmoLT2H7Tf/c5xkdPgfjjw1zl6P4UfTVmP1Fjs1luPtt7ulj+cv8Pjv7Cd5Pfux+Hrj/b3/3x1eW9dsFJCecMq6SYI+s62WpySnpPC77PC79Mj5IaQh1IVFGUEiEJpLZvS1kSJa96G694OMGoff4OasztqtmZylHGF5bHgBu0Ii2hxZV9LqL9yKJzd0EK+v1SAUOG63jm+eYTs+M7RLUDKIw4JqnHyS8QZR1ViQCXSR/xMEW7qrQHVlTbxVT3+edSj/fhZQH+4ABAPdQQwLldLrThGrfCv9NNGASKZ+XS3XND0CTdpAk0B14ajUvwy2AGgkSPZCMg4VoNQ9IIV5VglTryCAGMLfgbPDOvDGG+J+ZAeaQmQrD9ZwMLkYKPU5AouE0CmwU9j4sOGEDwWwHICMGPEATABbAaIKYh+jc2h9s+4yjHF2AqwEu2LBs34igjmq5NOD2HtMOLy+sHH/3rUr/9BWuXn2PvesBd5p3T/HEj3n32ae8IBM+unb/eEl+y885O+Is+7v7ca1l+6d/nqb417B1d0sPQSiolihDQmrtM7rl67rS0ly3KsD+P41KIwmRutquChTPhxCsCC4GrEb1G2OrVntjTBJzS/+YJ2br0ZwiIiPiUtBxh1SSuUfIFlscCyOjo6AgQgHN/LqwdaXz5Qj/N6AJx63vv4f3UFER9IH/cOFWFPuKbOClpjZS0B0AVW1iLABKBbYj2ssQLWjG/BkWjdmHzWys7M1d1wRtP46+xbb+SIdIu2nnir5rfcqI60fG5HefHD68kAAAzCSURBVGcmm2HBNaZx7FXw6QgKyyrmn/BTWQAdoBKgHf6sHl709JnglciLnyEEyI0A4whwx5HJAYVYj9S1arAwM5aMUgK7nD6KokwBVAp8HgH6MdoCXByqIMPRKkIDaDIgkqCAkxoHYZL4z0xmFt2IpBoqHNbQCN+ZzWqp8vKF+m9bJvuE7vwTP237PZ/6P+yZp/9mzoZZD/ydHrjIaYl7csA4ds2ecssrz7zrU7717DOe8ixLzcdcvXjX/31415XXrS/tD2Vv6c5xJxzGIfhNbtQCPhkrSDlVQR7Z3dcoWI/JPwI+hmKlOMagLAUFG6BQ1BLO0xZl3+qU8YF0jztX/UMzro23bkPRH3+ztm66oC38RtMzZ9TOsJDoY2QHX9PGivaXASCA0yqUGgDp6XvASihhaaCwHUA22d3W5My2Zud2NX/cBc0AuRnhhNujKX6XrSfdotmTHqcOy6XhWJRwkAf4BAgNnGn6stYKVVwvFxqYV9z+hJURFkud1+FawiqL96CwtgaslwINWE7iyGjEBd8GxjxyVPKwVhhjqH9uGjUATICMtY2Mc41jtXiACg798PE4/HNunzC9FHkW/iX4kCCcvMpYKZmFrAJvgJQg2vdAFotUeqKMAB5zV1g/0Y9M7CNjWY1w0IbfHSbps3Vh64N2fvYpX7z77k98vt1mnLVp+PS5bg4Et6+78GnBN+QAALRs3+6m3z73Xu/wj3c8vVNT9FHlYPEfx8v7L1jfdXVpOIULgDIAAOvY8SdNPVI1O1vqtuaAxFQlhJ8dPI4MS6yW2OXDx1KVFUWqSopSBjiNtFU4JoyAyACA4CeVT1s5V/aOdaELO2pvOc/tz03aeuqt2sF3svu02xQU8TlO2znpM448E26K4le8+fyOUtwSYcFod674f2CNE6yHVgpACStM9BvjEoDgzCmOWxvCl4S1khlnhxXRYmVkgLNaKPtHilu6Qp0AEmF59MxvfQxM4Q8qARzcEmmQ0mhq8MU2qVNQ20zV5Ily7mQOWAMiBZAZaSdxs5cPBjUHvRqsooxvKgM+mfwUYxic9iDaFe0qgCXQw0wCYEpifkj+gCW2bqSVFY3ZFH9Y6/iizBhLzmNy3Tmq/NLRvPl8256/9/xx0w/bftcn/dDWE2+83Z5jRff3Oc17oxyA9W807zTjOjlgZsWe8aTL7Ts9/pfbxR1fMOzOnjVmfdx6sfzG4crB/x7vvHqULh7ILx1pvLqUUBpDIZIaTbhZabqZmg4laybqzbXkKBI3YsuwHvABhbPTOboZ4JOwGCogoXwBSI6lVCiTcIaGwjmKV4GO8gNgN0LlhLAqHBCI8g54CaUXgOK04YBHAISIV4ABSAxKpDuKHWUi3eg3KPqOsgEsAUARFiyVSI98p1z0UcMYC5YW5yAFZSyJ1kwtTtg2NYSNcmqVcstJxjeEpROgNMZ8oPjZQelHOeDmeFOc446bVCzJAZGSTAPSPIalB1WjhX4UH6egk8m7QxhnanhvRqnlqNVR31W01jguGr3uoPWf2p/4/3u92354c/7MJ+28+5O/c/KM2/40bjajuVN68ziQ3rzqp7XvzQF75jP7+W0XXrv9Tk983uxdnvjlk8fNP7hM2g9b9+uvWR8tn7/eO3xtf3V/Me4flRIgAJAYip3YnRsLEJpqujW7ZgmF78JzloJQjugvHLF93BitUBPIUfCwLuKX05ldP3wn0WYARYBJJYDDUN4TACnhg4IGHMQRDwDZHHGWijBRPh3iVObYU+hjBDQGwC3+5uyEAFWOU2sNANdI2wUrYwQUClYJ7g9si6wEmGSsla6dqJ106jgmNRyXEoBjzCdZkgIhUP4REAxAKQE4kLAAU4AEZOTHcQfrQ05cHLGMegZDaEGVAJJNORIBNQFEDEKVBMJIWE1BVAS4zBml+R7W3F+MafyvZZo+w26avff233zqJ+0+86n/afJut/2JPf3UOayH+BNr9RA3edrcCQcsLKAbbtibP/1xv7f1rk/6qtk7P+Fvz26+4X3Geffpe6uj/3jx4qU/Orq6fycg1OvKUdHVI2lvqfBtxG1XxhrKKGWH07Thaj1++Ww7WEVnttThg5nsbqmF8jZpUMJ5a10jawGptpEn04BFMMhRuaIeC2pQIS71+HWWHNFW6N0q4uStI24Fawuq9UbKOjVc1iQl2kxNBjwmmuA/mkKT6VST+D3SfF6Piy1jbWcTRZi7ljpZiTG5mQJMKmCGXykI4Bzod6T/kf4qSCjJODcGKUKP94RPJimVJAa0YS9RN8a1eRNTVKKNAKUguhMNqVCh4NAZSAwrctWUYZ3L5WUqf3IwtW89umny8e07X3jPyfu9wyduP/NpPzh/u8e/yrg00OnnYeMAS/ewtX3a8L04gDC7XZi/dnbbhZ88905P+oIb3/NpH9xvt+9duvwxh2X9ZXuL/V9dHOz/1frKwdjvHWjYDzrUiH8krJXNcahXHFvQt9p6wRqwnPBHmEaUu+B0LttT2dZU4Tea7mxrsr2lLgg/Ug2355ryPsO3NMWJHFTj8U5eLY+11Ub5COdTZcAkASJ50kkAkBvdG1/JQt8Vx5aC9RE0YpkEDYytx6II4mBUywhQSQBJrRRNOF/xUGdjvYwYJoVSXkFEgJKAjqAwTCIMABT9iv4Dh5QEtIwCo+QNjWXRF++AUIFRK43jUSp/edCWn+i3pp/ku9vvO3vCTR+08z5P+9Kdd3zyrxkbgxkFqXr6PPwcYLke/k5Oe3hDDoSAQwN0eI6bsOnTb33e9jvf9k27z3jK3xsm3TPGrnzgoQ+fcTSsv+1wtfzlo6PDP1/s7+/1Vw6G8J9YHHu4/vY9Lk44BhX8MAl/R5CthwpK4VtR+G1OiPT4JbLw/dSQI4oBEqkIg8BVVY53CzRxbT4AgZNWAQLwKFgkTijAhKMJik1BymwKSybVdqINIytB+Ziin0AFi37pw4LoW7Qf4zAAwmg3fD5GHR1/AszoqL7BLxlgY4zBRsCJ8lGvqMhJ71PpF2WAM+sXATK/tu7Sf/Rp88/y1tZ7rpO927m/9Y7/ZOdvPPm/T9/jCS+xtzt/1czG2vDp1yPKgVPQeUTZff+doQTD7jvcetf8nZ78u+fe5cnfd+adn/SFZ862H9+c2fm7WBkf14/jFyyWi+9eLo5+YXFw9ILV0dFd/cHhctg/KiOq5lAc0TLO5urTWWMVATJxhRwkro8dcAraAE/RRoFR2kiPfHwpNZ/3KB/5AVQnaU57kS4UP8ioE1TTiAswEG0YFKFIM/w8nOcUcQXoADSpkrBmJCNupKcKIgoz5RoF6AQVQGkkP6j4uB697Pc+vmqt8bdXqfzUMo/fvp60n5vOzz5u65adD996+zMfM33/pz+7e7+n/eDkmbf96Y0f8I778LfQ+unzFubAKei8hRfggbq3W289mj/+/KtmT7vl17fe7YnfNX/Gkz9n+m5P+tj5+Sf9zemZ+buXJn8ot8JfuB7HH1iuVr+Cc/dP10eL1y2Pjq6uFoujYblc8z4SlnGF1wancIHiiBZUsIRGwKkERTqh42sJcKkU4HENFAIkkmwwAESE6HAFn03ciFsFD0wV4jomBywEGQCUjtuKchZp8Q7EYM1gM4EshmPJfDkaoJL90jr7K1fZ/6Bv7HnDNP3EMMvPWe/MnjXcPHmv9sL2e0y23/lDZx/wTp+w84Hv8n/uvt/Tvnf2nk/5DXvHJ94efANkGIhOP282Bx7aBtJD29xpaw83B0KRoNFus4U98cbb5+/0hN+dv8tt3zF/tyd++vw9nvIRkxvb91lvTd+13ynP9MY/zM0/VSr/cr1ef8tivfyx5WL9O0eHi7842j+8dLS/WB9yg3bELdaKa+01t2A9t1Qj8bJcSwCSE0bcV4N87dCoem29LiqVSKtWEScVQEU4iHHVqvjAoWfQYL0GPC7xVpJj7AxalfWw0nBwpOGuA61fuG/9cw9z+U/Lxr+x7+yLx6n+0XKref+hS+9+NMnvPr0lfdDkA57+0dO/9fR/Mnu/p3/17G8+5Tem7/K0l9kznnTZnmk9/AD9Hm7On7b/UHHgFHQeKk6+hdtB8Rwa4rckcUQ787SnvWz+zk/5vcm7POm/TJ7x5G/beq+3+/LtC91nbV8499H55rMf0J4///753PZHtvPZpzaz6ZcSfls7m/0cN04vTG1z1bNhdjjgAXFkGgCTcd0rfi/TE8aVfU3juDVAjkUUf23t2CuVFfhYrG16a9tXaDL5cZ9Pvnm1PfnSxdnpP1udmX3ceMOZDx1u3P5bevz5D1mev+GTtz/g7T9v9v5v/xXt+z7tW5v3efvnbj/z7f50/r5Pf80N7/v0vfh/SdW5mZ2CS2XuY/vr/w8AAP//JtVsbQAAAAZJREFUAwD4mei0XdnYKAAAAABJRU5ErkJggg==">
          <a:extLst>
            <a:ext uri="{FF2B5EF4-FFF2-40B4-BE49-F238E27FC236}">
              <a16:creationId xmlns:a16="http://schemas.microsoft.com/office/drawing/2014/main" id="{F5AAEE53-787B-4C2E-AF2F-22FD094B7643}"/>
            </a:ext>
          </a:extLst>
        </xdr:cNvPr>
        <xdr:cNvSpPr>
          <a:spLocks noChangeAspect="1" noChangeArrowheads="1"/>
        </xdr:cNvSpPr>
      </xdr:nvSpPr>
      <xdr:spPr bwMode="auto">
        <a:xfrm>
          <a:off x="10363200" y="209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10</xdr:col>
      <xdr:colOff>321734</xdr:colOff>
      <xdr:row>1</xdr:row>
      <xdr:rowOff>180976</xdr:rowOff>
    </xdr:from>
    <xdr:ext cx="1095375" cy="247650"/>
    <xdr:sp macro="" textlink="">
      <xdr:nvSpPr>
        <xdr:cNvPr id="66" name="CaixaDeTexto 65">
          <a:extLst>
            <a:ext uri="{FF2B5EF4-FFF2-40B4-BE49-F238E27FC236}">
              <a16:creationId xmlns:a16="http://schemas.microsoft.com/office/drawing/2014/main" id="{2087F6EB-8E38-4D8C-864E-DF46F65139C2}"/>
            </a:ext>
          </a:extLst>
        </xdr:cNvPr>
        <xdr:cNvSpPr txBox="1"/>
      </xdr:nvSpPr>
      <xdr:spPr>
        <a:xfrm>
          <a:off x="6460067" y="371476"/>
          <a:ext cx="1095375" cy="247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r>
            <a:rPr lang="en-US" sz="1500" b="0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rPr>
            <a:t>Despesas</a:t>
          </a:r>
        </a:p>
      </xdr:txBody>
    </xdr:sp>
    <xdr:clientData/>
  </xdr:oneCellAnchor>
  <xdr:oneCellAnchor>
    <xdr:from>
      <xdr:col>10</xdr:col>
      <xdr:colOff>302683</xdr:colOff>
      <xdr:row>3</xdr:row>
      <xdr:rowOff>123826</xdr:rowOff>
    </xdr:from>
    <xdr:ext cx="1686985" cy="457200"/>
    <xdr:sp macro="" textlink="Caixa!H21">
      <xdr:nvSpPr>
        <xdr:cNvPr id="67" name="CaixaDeTexto 66">
          <a:extLst>
            <a:ext uri="{FF2B5EF4-FFF2-40B4-BE49-F238E27FC236}">
              <a16:creationId xmlns:a16="http://schemas.microsoft.com/office/drawing/2014/main" id="{A87905A8-4FE7-465E-89A1-89098358680C}"/>
            </a:ext>
          </a:extLst>
        </xdr:cNvPr>
        <xdr:cNvSpPr txBox="1"/>
      </xdr:nvSpPr>
      <xdr:spPr>
        <a:xfrm>
          <a:off x="6441016" y="695326"/>
          <a:ext cx="168698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B4643F65-B74B-4FC8-A91F-67740971F48C}" type="TxLink">
            <a:rPr lang="en-US" sz="1400" b="1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R$ 350,00</a:t>
          </a:fld>
          <a:endParaRPr lang="en-US" sz="1400" b="1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/>
          </a:endParaRPr>
        </a:p>
      </xdr:txBody>
    </xdr:sp>
    <xdr:clientData/>
  </xdr:oneCellAnchor>
  <xdr:oneCellAnchor>
    <xdr:from>
      <xdr:col>6</xdr:col>
      <xdr:colOff>478367</xdr:colOff>
      <xdr:row>1</xdr:row>
      <xdr:rowOff>168276</xdr:rowOff>
    </xdr:from>
    <xdr:ext cx="1323975" cy="295276"/>
    <xdr:sp macro="" textlink="">
      <xdr:nvSpPr>
        <xdr:cNvPr id="57" name="CaixaDeTexto 56">
          <a:extLst>
            <a:ext uri="{FF2B5EF4-FFF2-40B4-BE49-F238E27FC236}">
              <a16:creationId xmlns:a16="http://schemas.microsoft.com/office/drawing/2014/main" id="{3162113F-F3AB-4B64-90A0-58F8327C53E9}"/>
            </a:ext>
          </a:extLst>
        </xdr:cNvPr>
        <xdr:cNvSpPr txBox="1"/>
      </xdr:nvSpPr>
      <xdr:spPr>
        <a:xfrm>
          <a:off x="4161367" y="358776"/>
          <a:ext cx="1323975" cy="295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r>
            <a:rPr lang="en-US" sz="1500" b="0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rPr>
            <a:t>Margem</a:t>
          </a:r>
        </a:p>
      </xdr:txBody>
    </xdr:sp>
    <xdr:clientData/>
  </xdr:oneCellAnchor>
  <xdr:oneCellAnchor>
    <xdr:from>
      <xdr:col>6</xdr:col>
      <xdr:colOff>487892</xdr:colOff>
      <xdr:row>3</xdr:row>
      <xdr:rowOff>120650</xdr:rowOff>
    </xdr:from>
    <xdr:ext cx="1057276" cy="409575"/>
    <xdr:sp macro="" textlink="Caixa!F38">
      <xdr:nvSpPr>
        <xdr:cNvPr id="58" name="CaixaDeTexto 57">
          <a:extLst>
            <a:ext uri="{FF2B5EF4-FFF2-40B4-BE49-F238E27FC236}">
              <a16:creationId xmlns:a16="http://schemas.microsoft.com/office/drawing/2014/main" id="{A8B78A6E-0F6B-4C57-A809-7948DF74705B}"/>
            </a:ext>
          </a:extLst>
        </xdr:cNvPr>
        <xdr:cNvSpPr txBox="1"/>
      </xdr:nvSpPr>
      <xdr:spPr>
        <a:xfrm>
          <a:off x="4170892" y="692150"/>
          <a:ext cx="1057276" cy="4095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A928B017-675C-46FC-AC6E-24E60D5756AB}" type="TxLink">
            <a:rPr lang="en-US" sz="1400" b="1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86,04%</a:t>
          </a:fld>
          <a:endParaRPr lang="en-US" sz="1400" b="1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/>
          </a:endParaRPr>
        </a:p>
      </xdr:txBody>
    </xdr:sp>
    <xdr:clientData/>
  </xdr:oneCellAnchor>
  <xdr:oneCellAnchor>
    <xdr:from>
      <xdr:col>4</xdr:col>
      <xdr:colOff>122767</xdr:colOff>
      <xdr:row>3</xdr:row>
      <xdr:rowOff>133350</xdr:rowOff>
    </xdr:from>
    <xdr:ext cx="1612901" cy="395818"/>
    <xdr:sp macro="" textlink="Caixa!F30">
      <xdr:nvSpPr>
        <xdr:cNvPr id="45" name="CaixaDeTexto 44">
          <a:extLst>
            <a:ext uri="{FF2B5EF4-FFF2-40B4-BE49-F238E27FC236}">
              <a16:creationId xmlns:a16="http://schemas.microsoft.com/office/drawing/2014/main" id="{66F12EBE-2B56-433C-AC1B-3F850996A93E}"/>
            </a:ext>
          </a:extLst>
        </xdr:cNvPr>
        <xdr:cNvSpPr txBox="1"/>
      </xdr:nvSpPr>
      <xdr:spPr>
        <a:xfrm>
          <a:off x="2578100" y="704850"/>
          <a:ext cx="1612901" cy="3958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8A8E45DD-73D3-41A9-952A-5698780DEBAD}" type="TxLink">
            <a:rPr lang="en-US" sz="1400" b="1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R$ 2.507,40</a:t>
          </a:fld>
          <a:endParaRPr lang="en-US" sz="1500" b="1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/>
          </a:endParaRPr>
        </a:p>
      </xdr:txBody>
    </xdr:sp>
    <xdr:clientData/>
  </xdr:oneCellAnchor>
  <xdr:oneCellAnchor>
    <xdr:from>
      <xdr:col>4</xdr:col>
      <xdr:colOff>132293</xdr:colOff>
      <xdr:row>1</xdr:row>
      <xdr:rowOff>161925</xdr:rowOff>
    </xdr:from>
    <xdr:ext cx="1514475" cy="247650"/>
    <xdr:sp macro="" textlink="">
      <xdr:nvSpPr>
        <xdr:cNvPr id="44" name="CaixaDeTexto 43">
          <a:extLst>
            <a:ext uri="{FF2B5EF4-FFF2-40B4-BE49-F238E27FC236}">
              <a16:creationId xmlns:a16="http://schemas.microsoft.com/office/drawing/2014/main" id="{EDF46058-1A10-4D37-A665-EA019CD542F8}"/>
            </a:ext>
          </a:extLst>
        </xdr:cNvPr>
        <xdr:cNvSpPr txBox="1"/>
      </xdr:nvSpPr>
      <xdr:spPr>
        <a:xfrm>
          <a:off x="2587626" y="352425"/>
          <a:ext cx="1514475" cy="247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r>
            <a:rPr lang="en-US" sz="1500" b="0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rPr>
            <a:t>Lucro</a:t>
          </a:r>
          <a:endParaRPr lang="en-US" sz="1500" b="0" i="0" u="none" strike="noStrike" baseline="0">
            <a:solidFill>
              <a:schemeClr val="bg1"/>
            </a:solidFill>
            <a:latin typeface="Abadi" panose="020B0604020104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13</xdr:col>
      <xdr:colOff>291041</xdr:colOff>
      <xdr:row>3</xdr:row>
      <xdr:rowOff>127000</xdr:rowOff>
    </xdr:from>
    <xdr:ext cx="1666877" cy="371475"/>
    <xdr:sp macro="" textlink="Produção!H5">
      <xdr:nvSpPr>
        <xdr:cNvPr id="59" name="CaixaDeTexto 58">
          <a:extLst>
            <a:ext uri="{FF2B5EF4-FFF2-40B4-BE49-F238E27FC236}">
              <a16:creationId xmlns:a16="http://schemas.microsoft.com/office/drawing/2014/main" id="{52B9A313-AA1B-427E-BEA2-006CF3E7919B}"/>
            </a:ext>
          </a:extLst>
        </xdr:cNvPr>
        <xdr:cNvSpPr txBox="1"/>
      </xdr:nvSpPr>
      <xdr:spPr>
        <a:xfrm>
          <a:off x="8270874" y="698500"/>
          <a:ext cx="1666877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845924B5-49D0-4388-835D-06F74336C03F}" type="TxLink">
            <a:rPr lang="en-US" sz="1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l"/>
            <a:t>70</a:t>
          </a:fld>
          <a:endParaRPr lang="en-US" sz="1400" b="1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/>
          </a:endParaRPr>
        </a:p>
      </xdr:txBody>
    </xdr:sp>
    <xdr:clientData/>
  </xdr:oneCellAnchor>
  <xdr:oneCellAnchor>
    <xdr:from>
      <xdr:col>13</xdr:col>
      <xdr:colOff>305859</xdr:colOff>
      <xdr:row>2</xdr:row>
      <xdr:rowOff>21166</xdr:rowOff>
    </xdr:from>
    <xdr:ext cx="1685925" cy="295276"/>
    <xdr:sp macro="" textlink="">
      <xdr:nvSpPr>
        <xdr:cNvPr id="61" name="CaixaDeTexto 60">
          <a:extLst>
            <a:ext uri="{FF2B5EF4-FFF2-40B4-BE49-F238E27FC236}">
              <a16:creationId xmlns:a16="http://schemas.microsoft.com/office/drawing/2014/main" id="{2D4A4D79-D66A-45A6-A898-C44AE5EB8181}"/>
            </a:ext>
          </a:extLst>
        </xdr:cNvPr>
        <xdr:cNvSpPr txBox="1"/>
      </xdr:nvSpPr>
      <xdr:spPr>
        <a:xfrm>
          <a:off x="8285692" y="402166"/>
          <a:ext cx="1685925" cy="295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r>
            <a:rPr lang="en-US" sz="1500" b="0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rPr>
            <a:t>Produção</a:t>
          </a:r>
        </a:p>
      </xdr:txBody>
    </xdr:sp>
    <xdr:clientData/>
  </xdr:oneCellAnchor>
  <xdr:oneCellAnchor>
    <xdr:from>
      <xdr:col>20</xdr:col>
      <xdr:colOff>0</xdr:colOff>
      <xdr:row>10</xdr:row>
      <xdr:rowOff>57150</xdr:rowOff>
    </xdr:from>
    <xdr:ext cx="1885950" cy="295276"/>
    <xdr:sp macro="" textlink="">
      <xdr:nvSpPr>
        <xdr:cNvPr id="70" name="CaixaDeTexto 69">
          <a:extLst>
            <a:ext uri="{FF2B5EF4-FFF2-40B4-BE49-F238E27FC236}">
              <a16:creationId xmlns:a16="http://schemas.microsoft.com/office/drawing/2014/main" id="{03DDCFE6-ED10-408B-A356-E250AB91BB98}"/>
            </a:ext>
          </a:extLst>
        </xdr:cNvPr>
        <xdr:cNvSpPr txBox="1"/>
      </xdr:nvSpPr>
      <xdr:spPr>
        <a:xfrm>
          <a:off x="12192000" y="1962150"/>
          <a:ext cx="1885950" cy="295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r>
            <a:rPr lang="en-US" sz="1500" b="0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rPr>
            <a:t>Tabela</a:t>
          </a:r>
          <a:r>
            <a:rPr lang="en-US" sz="1500" b="0" i="0" u="none" strike="noStrike" baseline="0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rPr>
            <a:t> de preços</a:t>
          </a:r>
          <a:endParaRPr lang="en-US" sz="1500" b="0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19</xdr:col>
      <xdr:colOff>495299</xdr:colOff>
      <xdr:row>13</xdr:row>
      <xdr:rowOff>152399</xdr:rowOff>
    </xdr:from>
    <xdr:ext cx="1133476" cy="371475"/>
    <xdr:sp macro="" textlink="Preços!C8">
      <xdr:nvSpPr>
        <xdr:cNvPr id="76" name="CaixaDeTexto 75">
          <a:extLst>
            <a:ext uri="{FF2B5EF4-FFF2-40B4-BE49-F238E27FC236}">
              <a16:creationId xmlns:a16="http://schemas.microsoft.com/office/drawing/2014/main" id="{3A85FBCA-D0E2-4C63-8E7F-7E9E909BDBE0}"/>
            </a:ext>
          </a:extLst>
        </xdr:cNvPr>
        <xdr:cNvSpPr txBox="1"/>
      </xdr:nvSpPr>
      <xdr:spPr>
        <a:xfrm>
          <a:off x="12077699" y="2628899"/>
          <a:ext cx="1133476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D28184C5-7202-48D5-9666-936519C8F24B}" type="TxLink">
            <a:rPr lang="en-US" sz="1300" b="0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Decorativa</a:t>
          </a:fld>
          <a:endParaRPr lang="en-US" sz="1300" b="0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/>
          </a:endParaRPr>
        </a:p>
      </xdr:txBody>
    </xdr:sp>
    <xdr:clientData/>
  </xdr:oneCellAnchor>
  <xdr:oneCellAnchor>
    <xdr:from>
      <xdr:col>21</xdr:col>
      <xdr:colOff>438148</xdr:colOff>
      <xdr:row>13</xdr:row>
      <xdr:rowOff>161924</xdr:rowOff>
    </xdr:from>
    <xdr:ext cx="1485901" cy="371475"/>
    <xdr:sp macro="" textlink="Preços!E8">
      <xdr:nvSpPr>
        <xdr:cNvPr id="78" name="CaixaDeTexto 77">
          <a:extLst>
            <a:ext uri="{FF2B5EF4-FFF2-40B4-BE49-F238E27FC236}">
              <a16:creationId xmlns:a16="http://schemas.microsoft.com/office/drawing/2014/main" id="{2D7C9959-D343-410E-917D-2DA97F9BD93C}"/>
            </a:ext>
          </a:extLst>
        </xdr:cNvPr>
        <xdr:cNvSpPr txBox="1"/>
      </xdr:nvSpPr>
      <xdr:spPr>
        <a:xfrm>
          <a:off x="13239748" y="2638424"/>
          <a:ext cx="1485901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D2C5CB34-83CC-49BC-B089-4A3BBA2AE4C8}" type="TxLink">
            <a:rPr lang="en-US" sz="1300" b="1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 R$ 26,85 </a:t>
          </a:fld>
          <a:endParaRPr lang="en-US" sz="1300" b="1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/>
          </a:endParaRPr>
        </a:p>
      </xdr:txBody>
    </xdr:sp>
    <xdr:clientData/>
  </xdr:oneCellAnchor>
  <xdr:oneCellAnchor>
    <xdr:from>
      <xdr:col>19</xdr:col>
      <xdr:colOff>504824</xdr:colOff>
      <xdr:row>15</xdr:row>
      <xdr:rowOff>95249</xdr:rowOff>
    </xdr:from>
    <xdr:ext cx="1066801" cy="523876"/>
    <xdr:sp macro="" textlink="Preços!C9">
      <xdr:nvSpPr>
        <xdr:cNvPr id="79" name="CaixaDeTexto 78">
          <a:extLst>
            <a:ext uri="{FF2B5EF4-FFF2-40B4-BE49-F238E27FC236}">
              <a16:creationId xmlns:a16="http://schemas.microsoft.com/office/drawing/2014/main" id="{3BAA6D66-23B3-4815-BFF4-49FE5BB2E806}"/>
            </a:ext>
          </a:extLst>
        </xdr:cNvPr>
        <xdr:cNvSpPr txBox="1"/>
      </xdr:nvSpPr>
      <xdr:spPr>
        <a:xfrm>
          <a:off x="12087224" y="2952749"/>
          <a:ext cx="1066801" cy="5238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881435F4-CB98-43E8-83CA-11A664B15A91}" type="TxLink">
            <a:rPr lang="en-US" sz="1300" b="0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Pote pequeno</a:t>
          </a:fld>
          <a:endParaRPr lang="en-US" sz="1300" b="0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/>
          </a:endParaRPr>
        </a:p>
      </xdr:txBody>
    </xdr:sp>
    <xdr:clientData/>
  </xdr:oneCellAnchor>
  <xdr:oneCellAnchor>
    <xdr:from>
      <xdr:col>21</xdr:col>
      <xdr:colOff>438149</xdr:colOff>
      <xdr:row>16</xdr:row>
      <xdr:rowOff>9524</xdr:rowOff>
    </xdr:from>
    <xdr:ext cx="1609726" cy="371475"/>
    <xdr:sp macro="" textlink="Preços!E9">
      <xdr:nvSpPr>
        <xdr:cNvPr id="81" name="CaixaDeTexto 80">
          <a:extLst>
            <a:ext uri="{FF2B5EF4-FFF2-40B4-BE49-F238E27FC236}">
              <a16:creationId xmlns:a16="http://schemas.microsoft.com/office/drawing/2014/main" id="{668FC51D-5B64-47C2-A445-62DEF0E855DF}"/>
            </a:ext>
          </a:extLst>
        </xdr:cNvPr>
        <xdr:cNvSpPr txBox="1"/>
      </xdr:nvSpPr>
      <xdr:spPr>
        <a:xfrm>
          <a:off x="13239749" y="3057524"/>
          <a:ext cx="1609726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E4C1782C-878B-44DB-B65A-FAEFF052C931}" type="TxLink">
            <a:rPr lang="en-US" sz="1300" b="1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 R$ 33,07 </a:t>
          </a:fld>
          <a:endParaRPr lang="en-US" sz="1300" b="1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/>
          </a:endParaRPr>
        </a:p>
      </xdr:txBody>
    </xdr:sp>
    <xdr:clientData/>
  </xdr:oneCellAnchor>
  <xdr:oneCellAnchor>
    <xdr:from>
      <xdr:col>19</xdr:col>
      <xdr:colOff>495299</xdr:colOff>
      <xdr:row>18</xdr:row>
      <xdr:rowOff>47624</xdr:rowOff>
    </xdr:from>
    <xdr:ext cx="1066801" cy="342901"/>
    <xdr:sp macro="" textlink="Preços!C10">
      <xdr:nvSpPr>
        <xdr:cNvPr id="82" name="CaixaDeTexto 81">
          <a:extLst>
            <a:ext uri="{FF2B5EF4-FFF2-40B4-BE49-F238E27FC236}">
              <a16:creationId xmlns:a16="http://schemas.microsoft.com/office/drawing/2014/main" id="{132B0DBF-B9AD-46E9-B55A-FEB6C69A58D8}"/>
            </a:ext>
          </a:extLst>
        </xdr:cNvPr>
        <xdr:cNvSpPr txBox="1"/>
      </xdr:nvSpPr>
      <xdr:spPr>
        <a:xfrm>
          <a:off x="12077699" y="3476624"/>
          <a:ext cx="1066801" cy="342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6A0323BC-EEA7-47A6-ACA8-87F59BA8D669}" type="TxLink">
            <a:rPr lang="en-US" sz="1300" b="0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Pote médio</a:t>
          </a:fld>
          <a:endParaRPr lang="en-US" sz="1300" b="0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/>
          </a:endParaRPr>
        </a:p>
      </xdr:txBody>
    </xdr:sp>
    <xdr:clientData/>
  </xdr:oneCellAnchor>
  <xdr:oneCellAnchor>
    <xdr:from>
      <xdr:col>21</xdr:col>
      <xdr:colOff>495298</xdr:colOff>
      <xdr:row>18</xdr:row>
      <xdr:rowOff>57149</xdr:rowOff>
    </xdr:from>
    <xdr:ext cx="1619251" cy="371475"/>
    <xdr:sp macro="" textlink="Preços!E10">
      <xdr:nvSpPr>
        <xdr:cNvPr id="89" name="CaixaDeTexto 88">
          <a:extLst>
            <a:ext uri="{FF2B5EF4-FFF2-40B4-BE49-F238E27FC236}">
              <a16:creationId xmlns:a16="http://schemas.microsoft.com/office/drawing/2014/main" id="{24850DE2-FC5E-411C-9FBE-A63A389848AF}"/>
            </a:ext>
          </a:extLst>
        </xdr:cNvPr>
        <xdr:cNvSpPr txBox="1"/>
      </xdr:nvSpPr>
      <xdr:spPr>
        <a:xfrm>
          <a:off x="13296898" y="3486149"/>
          <a:ext cx="1619251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63B4A5B0-1F8C-42CC-A790-2D341B58727D}" type="TxLink">
            <a:rPr lang="en-US" sz="1300" b="1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 R$ 41,65 </a:t>
          </a:fld>
          <a:endParaRPr lang="en-US" sz="1300" b="1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/>
          </a:endParaRPr>
        </a:p>
      </xdr:txBody>
    </xdr:sp>
    <xdr:clientData/>
  </xdr:oneCellAnchor>
  <xdr:twoCellAnchor editAs="oneCell">
    <xdr:from>
      <xdr:col>22</xdr:col>
      <xdr:colOff>0</xdr:colOff>
      <xdr:row>9</xdr:row>
      <xdr:rowOff>0</xdr:rowOff>
    </xdr:from>
    <xdr:to>
      <xdr:col>22</xdr:col>
      <xdr:colOff>304800</xdr:colOff>
      <xdr:row>10</xdr:row>
      <xdr:rowOff>114300</xdr:rowOff>
    </xdr:to>
    <xdr:sp macro="" textlink="">
      <xdr:nvSpPr>
        <xdr:cNvPr id="1026" name="AutoShape 2" descr="data:image/png;base64,iVBORw0KGgoAAAANSUhEUgAAAL0AAAEdCAYAAABZvGZqAAAQAElEQVR4Aey9CbBdR3oe9v/d55y7vAX7xn0f7iu4r+BwhprRLBpNRMexPbYkS/Iiy3Eljl2VlKUq24nKSSoVVeQ4qiSliV2JI8makbWOyOECkCBIAkMSJLiBIFZiX95277v3bO3v6/sugPcAUkO8c6lHsA/Of3v/+++/v/7P333uuzASrqCBz5kGAug/ZxMehisSQB9Q8LnTQAD9527Kw4AD6AMGPncaCKA/pykPjT7LGhgY6J1zCrpkamrq5q3b3vnmy6++eusrr7/zhTc++GAV8s22bduGN7yy9YofvfXWpT/cuPHCZ3burG/fvr22ceO2pZs3729u3Lu3sWPH8UX9ulu37l7y9IaXbtn81ltr/uiHz933gw2b7tjmXPKnTz17J8u2bXPJ668fHPod5+zG11678MnnXrxu48aNDU7OM85Fr766czF46euvv7/yz8DntbffvuZ7f/zkt1/ZuvWKrbt3L9m2be/SHTt2+P5eee+9K57atOVm1K/thRybtm8ffW3b9hueevaFO5FnNm/eHL/8xhsXv37w4NDr77zzhT9dv/HxP3l6/cM/2r59xZY33rvuz9dvfHj9i6/cj7LL33jjg1XrwYv97t+/v7kZfezc6erkC14xiXw2b96xiPKz/Pl33hnp5W2O2RfpqQ0vXcOxv4pxsC15/dn69bdv2Lz57j9//qW1lP3551/5AmVkX9QldLz06Zd6Otu5c2d9K3S46fXXL3pm06aL0G+y7fDhYerrmY2br2V96oq0ceNrF6I8/p3fcZZ9swy8Eoab33zzEuqDcpDnq6++unj95rfWUG6Uj6KdeQfyk/f27a6GtPbmdOu1L7645TrKzbEiP376+Zdv6Kd37jyx+MkNLz7yg2ef/wr6Wko5BkWVgx6DIdjXdQv5yo4P9/+rF3+09cmdez78D3v2Ht68e8+ebe9s27H7+z947sibOz88cvDQofd2fPDhjhNj0zuPvfXBsa3v7Tm+/8TBA3uOvH3syNs7jr36zpZDf/rMxsPv7jt0eMf+HQePT06+tnv3/r3t6fSFsRPjr7z/5PpjU5180/Z9O/a+t3f9gZ0H3znUfPr5gwf2H9013pp648Ox1r7v/fmzO0784Jl92z/cvu/7P3h2+wcH9r3fnpr+0Y4PDrxdiPm9XbsPvfv2a+8ceGf3e/tf37573588u3H3nh173x07fuLV7z/53NFX3nz/0JHdB/fv3Lv3jVY3e+mPntrw4d6jE0d27T6w44PX3jr87vt73mpNtP6s1eo8u2fHh/t27tn95uRk+9ljY5PPY2zb393zwd7DR4+/+v6+3Xs2bX330O53dx/Y+v6Gw1ve3nH4Pz614ej3fvDM0Xc2bz2689AHh3cceOvonvd2Hz6y6+CRXVvfO/LhsfaxnQfHjuw8NH7o6PETb+/c+eGe3Uf2HNr81o6Dz//ozQNjY9ObDxw8sWl8bOLlV9/ddfDAifFt463uyzsP7Nu97YP9R97edWD/0cPjr36wY++uV9/deeTdve8d2LP30M5jx1sf/Mc/33D07Ze3Hor/7LnDx46PvfH6O7v3/OFTGzb/4ZPrd+w7enj7f/jjH+4xjaf27zx4/NCP3tpxZPveIwfB79DuPYffP7z74MGdB3cd2Lxtx9EPDhzHNO7fvfPtDw699t7ug99/8tnDb2DI72554+i2D9Yfx/j27T26b9euQ0fe+vDY2LaX39h+dCda/+GTzx89Pjax9aWt7+388Pi+3a9vf/0w9PbM5NT0n7yz88BbL2zZ+gsOxmoQwK8c9KrqIOgrm1/bum7rm+9+c7LVWZmVYgEw69Tawmmtm+ZLxZl6gfwSmXgoxGpsU0AIEyemnmZFA+W16W62rCy1gbxExErpjDUmEjWR5oUbtlFskBjKi2Ip2gyB93LUiUQia02ytCzcFXlerlKNhrK8vDIvyhEnYsQYU5ROnJooSmo1UVvLczfcbndhBQ3aW1MWMuxERzrdjG01L0Uh/2rQIhEbp1nZRGicWvCxkpcOslujNvLpUow1NopRbgontW43G87yojE93R0pwLso3KhqNGpNXEeYGIQ2ShKIVUuzvNHNshHEFxVFuaR0atAmStM8AR9YVDNqbayqVkStCnRmogg6VsmKErp1aKscl4pGSVnqMPjXVCOMzcRpno+ojZqlyFKEkVi7stXu3NHNiivE2AbGsjp3stKJXWKihHWXYD4W2SiOy1IwH1pXY4fQN6y5xpCvJmIaRS7LykLrWe5qGGszTYsLsrwcgd5VjNFumjVEOb/ZKNob1FmZZsWi6ek07qQ5ZHdSqq46cPDwb/7g6fU/5NNDKr5Mxfw8u927P/ylI0eO/QpAVIcyhOCy1DVKAQmJIytRFEmSJNCDkTzPpcCMYmXPhIr8yJNzIq4UybJC+nHWE1wMVRUxkRIzoaqiasE7FlUOTVFmRJFnjBVrARDksB0CUVXwhJLRljKwPI7Zlu3El6v24uw7y3JJ00wKoL8snZAnaoGHSI4KJHSC9WylEFzorxBFPeOJY+4TZcgxbhLjMnOVkIVRymKMATuL8USiqp4H9cQyEuuyDnmie+go83ogP5apqm/HuqzHfNUeH6ZVFbK7k8Q81umTqgr1Qf5Zlvl6lDdNUx8nX6ZVezxl5mI+eVEGZrE905S9VIFuMKnAQC4Oeiul1ZmW6bQr+czYORYssHiiPf3QobGJf0IeVZKpklmf194PDzyOFQzLrCeVY6CY3uAFE+GkLDJPKqW4MgeQoEiEkVUxUExkjVhEWKZQDqI+H5VFHKFU+jDPusjKhe1IrO/KAnk9YtsS5oe8wFb0tP6KPPU8HPo16tAG04A4ebKM+ST2ZyC/Qg4SKnpZFKvRoS9F2wjlBrNlUYehYgINywFsh7hAZpKifwutsz/GHfqLjEocGbDNvTysR2IdhtRVv00tiSSJrR8v4yynrGWRQl/iiXzNTD/UCdMl9M0+SOTb58c4iel+XdZnnHkso4zMY18Mmc/yfpp5jLMP1iWxnMT2JLaxHDfkUoxZII+F3ignqYYx1RKL+QE3GBRVI2oSOXp8/Oel4stUzM+zK1WbaqyUijnEohaAYXi4KY1aLHVM2srlS2XRyJA064ksRrhi6WJZtmhUVi9f5mm4EctoM5FVyxfLktEhWb50VBYNN2R0uC7DyF8yOoz0kDSSWC5ctVIuuWCNrFq2VJaOjsialcvQbonUY5XFo01Zuph16zI6VJNli0eQH0mCGRhp1H19tiGtXrEM5YtkpNlA3SZ4LPN9LILc9TiSpYuG5MpLL5Tl4LFkpIm6w16eZs1C5qVyxSUXyIolI7Js0QjSi2X1iiW+7lAtkmXIH6olSC+SCyDvEsg5OtTEWOqyeuVyjG+x74t9KxYRRJdRyMExrVmxHDoY8eXLFi/yOrNYWOTRhD59HkKOYRF4rliyWFZCF030FwFU5Ml0DaAaqtf8+IYxdta79MILhO1IF61ZLeyX7agbzgvniHXJY6RZF98ebVk+DF4kysGxXLRmVU9nI0PCdj2djfg2qzCvS0aGZfHwkCwbXSTDdfKqyzC8yqUjI7JyyRI/h4uGRsRibhQoyqGHAsYiS4tFPLBAVmW3qYzTaYxOTEytjizBFQmMmMQAzU03XCcP3HunrHvwPrn7jlvkwfvuRvx+ufeutT7+8AP3yj133iZrb7tZHn7gHrn37jvktluuR/xuue+u2+WhB+6W++9ZK4+g7L6775SH7r/bt7vz9pvkdtS78/Zb5M47bpXbb70BPG6URx++Xx5A/fvuvl2+uO4B1L0L/G9Fn/fJI5DhkYfu9+G96Och8Lzz9lvlHvTz4H13+fqMs4977rwDvB6Q+1DvtpuvkwfvvxOy3CWst+6he+UR0N1rb5bbb/yCPIj+7r/rNrnr1htl7c3Xy/3g9+VH0PbO231f9929Vu68/UY/No7l0YdRhvr33Hmrz7v3rjt8X48+8qA8cO9dGD/4YFwc8yMP3it3rb1VHoGevrjuQejidnkY43jg3l4blnNc96Cv+9DvQ6j38AP3Qe616PMWP+77IN+9GAdlX3v7zXLTDVdDJ7ejHHq75TqM+2F5DH0/9uiD0C/G9uA9kONO9LVWHrz/Hln3EHQ3Q/ffc5c8jD4ege44r7ffcqPcBf0/iHmlLOsehv7vu1Mem5H1Qej1IdR99IG75PF1D8ljkP1R0CPgy/A+tF2HOV2MRWCMEf/PYHnjMXm9CB6BpwFsntGBgN7aqE1fj76hYtk6PMpK+IS12HhLDw8G1laF6UZiJcGjPYlUEAgMEsig3EgD/rUVQb4irbDS1revz7QZbiRisao8P7T3vKyRGHl8CjCMIYDFk8bXQVmjFsHC1qSGzmJkNmsx6ovnD7bCPGxDJTYifPwO1WP0adF3hIkQMeCVwFeP0YcFb1rGCKGq9mRBvgElWOgIxFqF/OJ5JBHqiMCiOvCzvg8FP2RLYgRPLgvLmEgTMrIu9RNbgRwiCfg0k8jrqoYGlCOGJfchyjA01HO+L8b746wnVmLrpIFx1sEsQV0M3fNjW/bRrGNseCLXY4O6Aj7SCymboVyR1NEIt6BrkBO2i6xAJ6XUwRdNERqpoRLrcDyArDDfgDdlQhEe+k4MeFq0jSgLwpgNpMTeRSRGnisKbygNdWqjeO/evaulwstUyOskq56skSgewwq1OPhoaXdarDGi8HMFPh39PMVA+ySI90lRX9EazfGJGNOliJIc0qir8JHpS7N9vx1DXwethG0YOrSbIUHfbMO+xeUoLYRp3w4NDTokP+YxNOhH0A/rO+ysUCzsnbxJwBwWgQrzZc6lqtJb9OonmXyE/EDkz7SSN9I+H3HmG8jhy8DcgBTliq0f84Rx1uM4GGc5yNdDvgG6FO3Jl+0ov4+jvq+DNswjkZ+iLXmSFH0o2vp81PPtGIJkhnwe6ijauTKDLkrxfJFmnifUZd+9uJNeCD0zf0ZG8X2xrPTl5A9oiGCRdbGpjROsBMSZjqMoOnT0xFqp8DIV8jqNlTvGzYxDTmlUTBTLKPxwgfKdACQmEhHTI8UA+/F+iDasdpKY7pOiGeudrR3zWY91+uGs+EyfqKeUYS6P09LKeJ9Y36IteYGU8T5/hAqiVHNJFZV9JtvOGWefN0Pwl9NCpWzM6xPLSEwz7BPTfWLe3Djz+nR62dw8ljFvbog8rwfmk5AWhiBjY4zsLONCWb/OybDfbiacxfO0+g4ca426qKrgQ4w1OPkrykXDi7ZLhRekrpDbDKs4jjuq6o8ic5ycdDodGR8fFwxFVPk5U/GTB6HFeawBNUb4ygQg4Q0C6PPCxXHzRJXDHgjoO51ukueZWGslSWqgBD5aLHzcS7iCBj5GAw7eAN8JlHBPCxhMo1rIZSvGPqbJJy4aCOgB9mm4YmKwcgtsSriCVRUrV72Ajs8xHwsfQQOzNUCwq6rHiqoRh4/6wYMjs2vNLzUQ0KvVvC8WgR/BDQ2ZaAAAEABJREFU4mMhnLT0GFO/OIRBAyc1UOJcvtvtiKp6rDCdJLEeOTKx7GSlCiKDAb2YxRbn9BQa8gstPfx8L64LZt7rIXycqQG4MkLjKOIAfPHxoijLCy9cvv/M2ueeMxDQOymXO/hmqiolfDOFfB1sZlUVg1Gkwv3pauCz0RvtYZZmXlhVYqekxbcHD55Y6TMr+hgI6PEuJOdmhK6Nqkq32xXG+zJzcP14CIMGTtcATu5x6ldKlueiBgayLPMl11+58C39dKd7iAMp4aMR7MbaWRZeMRaWBwoaOF0Dqio8AFFVoUvMQ5DCla67a1d5er35xgdi6ZvN5hEKT+EczLoD+Hu+Grw1pJkfKGhgrgaIFVjHHvBRSNCn3dQsWrSohmRl90BAX5bFJRSYUtLaq+rJc3pVhZ/GkkBBA7M14LCBdTCQDFXVF9J4jo/PJHzO/D8GAvqiLHK6NRSPq5ePKvr4DJlX7RDIMdD5oAEVlYhfMjQW8BcxM0AZGsryKsf3Y4P+k3RapIUTDEBwEfQlXlAhGu6ggb9AA/ACcNoH8MAbcELDmdSSdMWKFe2/oOEnKh4I6OvNxgkPdjyq6N6QaOkxkk8kXKj8+dIAMQMvQYq8Z9iVb/TzAi9ltaxSEwMBfZqmowWsOwfB1RonsdTrde5iq5Q98DqPNECslGUh0+1p/7e+TANHOL4sou3bty/8jSyAviSOI/9FM85LnmMw09PB0FMZgc6qAVXFG9hIhpo1hMa7NjSUNjLp1Vdf3ZUKr4FYemvtwb6MSZJgENaf3qiBz4YjS9z94hAGDZzUAE9tvBuMnCxNhZYerjF/EKtSnFbKDLL6GwI7AB+WnVsSZAHlqoqIiKqC5PNyhXF+Ag0YYKPZaHrcGGuF6chGyYZNm279BGz+wqrmL6xxDhVK5xQrVODmCP00hly1ZEVfjWGgoIG5GnCwkVmeATc9jwA4EuwNdaQ+YufWnU96IKCPa0lBoQhwEgTv+fdYyarKokBBA2dogNAYGRmBoQT6WcpVoFpGUf2ku8zs+dJAQN+sN/b0wV7OnLtSUIcjTIaBggY+SgMFDj3oGquqGIuXVK7MbrzxM/CFM1FpCC4Cn1QC7LT2inNXZIc7aOCsGiBWWu0WfPpS+PWDHOf1Sa1G16BS41wps/5I2lOtm1TVn9hw1VpjxNHiA/ysw6cWw0BBA7M0cBIzVpQeDoCSdjrx7t1Hl8+qN8/EQEBvrJ0sipKbEPhn/g8B8KgC8DEIrmaMbZ5ih+bnowY8NuAmGGP98Gq1mogxuXPLF/6vIYho25jeDlxwcTDTeDllTG+NAfvIDXfQwBwNwLoTKz2cIIFig43sZZdJ78+pkK7i7qGwCk6n8ciyrlJ4+vLWWuGKbTZ756+qpxaDhCto4DQNqFEh0ZcnbqRn9c2hQ4fqUuE1ENBjwzqhqv5NrKoKB6FqRLUHeIPBSbiCBuZogIaSWCHg6Q1EkRUVMceOZfBz5lSeR9LMo+1HNs2LosbTGlr6siz8hlb8N6RFVAl8CVfQwBkacDjocDzwAOJV1X8NwUY2u/76ixb+jz1h5+0KbGTjOMbAesJzFSPhb4zHh4P8CLw/exqghTe2Z4ezLBVjDIDfVYykl4lIFXelzPoCOZVha42029MQOvVfFe12UxRTfhEsZMTDHTQwWwMOSVWFNyAgc9ItloqvgYDeGGMdkG+txWpV79sbtUC7SriCBj5KAw7uDT0EERVihwcgIhK9++67/mUn4pXcphIuc5iUrvTnqqoqqkYMHlNDQ6fkRvacFiEZNCBCXBh+iAAzik8RY236hS98YeH/uWCe5RE3sn3KskxarWk/CH44PscYCRQ0cJoGVNUfb/MbuWmawQ12oiK5qvovMJ5WdV5RM6/WH9G4LIrIRpFAWE+sRmsP/6Y3EIyEeYEWnAb+kgVSf9LHUz8KwsOPvCjq27ZtS5iuigYC+kWLF4/zMcW/mqLghffV8plDy6pED3zORw3wi2b052kwy9IJf/E6Sa6v1EwOBPR4wTBMoRHC0vemhgNhjPkMAwUNzNVACeM4OTUpfCllrYHVj0REs6uukkIqvAYCevjycMZUDDaw1lqp84tDgmvGmZ8JkBHuoIFTGqBBtMZ6F5gLADiiR8wKCx/0zWZjCpJTWB9wAPzLdjW9NaaVPqx8N+HjPNCAqsLKR/64UlU9dvIirx04cODU0V8F4+yhsAJGp7PotDuXc5US7PTpGU5NtU5WCZb+pCpC5DQNOMSJGxGFl2ABfgOfPkLcVGomjVR9gZ8T11LtyWmtodAz/hmeVkD8TBFqhjto4JQGiJhGo+H/DkNVfViWlXo2vrOBgD7N0paBK5P63y7JxEYWqzbyjyvV3mPL9x4+ggZO0wC9guMnjouqSpp2gRcn1th81apVndOqzTtq5s3hLAxGRhYVqupfNHAgJY6e+L+RuJlVi6KztApZQQMqPLKki8OQlGWp3bVrV1ylbkyVzPq8up3pEVX1K5aCE/hJEns3h/F+vRAGDczSgApA38MJ8wn+eqPu8vwyuvvMqoRMJVzmMEmSWpsCE+A8c+ULhjzv+WaqGNmc+iEZNNDXAOFB15hpVQO/vixwTp8zXRUNBPRFkV8cx1FPRqzRnm+f4o0sEr3c8DlHAyEp3ofnf7AmcIdpMLkAABpitFJLSYbV69tJm7tua40YUUmiWBYtHhHFyZPDgCodQfXSB45/CRrwIAdWSpzu8TfqVVUsXmzayJQiQkJQzW2qYTObizH2SFEUoqpijPEhB4WlPBOXcAUNzNKAKk2h8384QszkeS4lMNTppAYVWYigmpsMq+F0Ohd1XVUeTToPcg4i9n862KuEol4kfAYNnK4BQJv7P2sjscbCy3FiYe1RxYIquwcCemxkvYXnauVRJa2+iEpZlhKuoIGP0wB/tRjHlB4/XAD1ei1+/fX3Vnxcm09aNhDQT4xPLCbQVRXCK3bghUxOTiBuxAXgS7g+WgO07BEsPWykN5Iwmtnq1dd81K8hfDSjjykZCOjrjdoUhScZY8XijWwU8Y1sz935GHlC0edcA8YYKR08AidCzwB+fWf1aj31xa0K9GMq4HEGizwraty4klRVVI3foPiKSGOD7qPhI2jgdA0YYKOW1AB2J8ROiZO+onR1xOPT6803PhDQm9gsUbVeeLFGDAgLAbIaHLtiCSui4Q4amKOBonAy3W4D8KWkeSYK3ETWxG+/vXvh/2oxHkmZwWOKY+JmNi9y6Z/eqAbEUy+BzqYB5/d/CuyQuC+E0XTLlzcnz1b7XPMGYunzvGhjAyI94DtRNdJsNqS/iQ3uzblO1/ndThUG0Ynw9IZYSZJEiizXI0daw1WOfCCghw9W0LIjhKwq/JnuVqstxlphHseGgoVxBykWjgYADG5iO52OdLpdoeGM4kgnOseXVCnkQEBfq9cmShxNknK8WbPGiKoROPSiitVc5QgCr/NKA/wvNRNsZmk0ObAsy/JmdOEexqsiILEqVqf4FEW+mIAnMdfCwluLrgLeqY5AH6UB+L209LVa4o2jBW6MMcXNN69a+L9wJk5XQtiZocFJQ6woSm/pEQ130MBHaABWEXApcVTJCkVRiIrat956a+EfWaqTPWVZiLVGFG4N/XgbGREUCC4saHyGO2hgtgZURfgSk9bRwT22sPROxaxcubImFV6mQl4nWSVxghOn3ndtVFWM9+kFF5YxPsP92dfAIEZA48jv3tDSEykF9oPixH7wwZ5bq+xvIKBvtVuL6M4Q7Fyt2IwId+QUvMQKxjpgNFDQwBka4PduuImt1Wpio0hg/F23dAv/awjLli3dliQ9N4yA7w2i939lcSEE9+aMuQ4Z0IAqIA6anm77r63Qpy+dKy6/aNXbKK7sHoilP3HixPU4aZo5k1c8oeCl8UtEM2JjXDOxEAQNnNIAcaGqomqEHgH9e/r2OPZe+D49hpGBsJG1CHqvli02JYIBISPcQQNn1QD9+BIHIPQGiBdaeoR2bHp64X+fPo4TyA0LDz8Gtwc/XZyzjjRkBg30NQCwcDOrSmuvPtdaky9uNPb6REUfA3Fv8GhqQn7v3kSRhYFX/7hCxmlih2jQwGwN9DEDiymEvKpKt5uZfHQ0mV1zfqmBgF6NnXbw4R1GgVvyLJN2u9KXavMbdWi9QDXghD8X0wO9ijVGbGRUjrc+A+5NPXoP1l5UFcbdCTckJOYJLi4EBOEOGpijARUeWaqqxw4LrbESx41KLeZALH27NX0FBe5ZeudPb5IkwUB63WFMLA4UNDBLAwZGnb9anOeZFEUOgykwmHHZarqF/316nM0PWb5YALo5kLIovHuD5KxBhkTQwOkaoAdQ4gO30MWhZ9Dtdmx+4Ohlp9ebb9zMl8HZ2pdFedTNfGmIA6Ct5yBYl9afYaBz1MB53IxHlmm3KxbH2wQ8DWaBV/tJMnqgymEPBPSrVqzYxZ9mI8AhNN5MCVwb5UcvlHAFDZypASBERkZHPEZoLLmphXeQHbz2wvEza597zkBAP52mF1pj/KtkvE2THO4NfXrvpJ27rKHlea4BGkl+R4uG0lrjLb4TjS56/3izyqEPBPRFnvov3vARRWE5mImJFja0XMsivU8JV9DALA2UcInHx8elLEspYOodS52zqp1FjFZFAwF9XhZJlmYSwTezIH5jLq7VeoYeI+EiqGoAgc/5owED76Be4xcTARIOC8Dnf8rQarVnMpg5fxoI6K1EzdO/dtDF5oSr1xiFf+9EFeH8ZQ8czjsNOD8igp+RKI79V9JVXcL0fOj0tgMBfZp3h/Ms9/2oqlhjYeWdJyBewhU0cDYNqKoMD/PXPnpGkcZSRO3RE8fWSoXXQEAP92VSYdUtXBtaeBtZqfmXU73BoFzCFTQwVwO08+MTPKhxQmtP/FhjyiWjS3fOrTuf9EBAj1fJ0yAYdfWEHay38nDRvKyq6sPwETQwSwNAPfd/BLsBRgh8nOSk08ubb86qN8/EQECfxDHk7X3vRlX9bpx/VIKo9+nnKXNofp5qgPjg1xBoHNMsk26nQ9c4v/eii9IqhzwQ0Gd5ttRhBFi4wlVLgZM4YiBieouglwifQQOnNEC8qOCfiiTYxBY4uixd0djy5psL/2sIcG3aqkYUxCFFAHwtAeg5KmSoMfj8rN1B3kFrAFiXOIlFgRt+X8vAcHa63fSOG29c+H9EAku/Er6Y9+P7imq3p/vREAYNnFUDRVHKkSNH4A4XHjvGWDHG1N56f89VZ21wjpnmHNt9bLMkSWJV9YLz9IarNs8L38bRYfOx8BE0MFsDxijcmkRoMPm9mxgewvDQsD1x7OiXZ9ecX8rMr/nZW5dFOUywR1EkHAiBzgFgFYgqF8PZ24XcoIE0S4EZC2vPHxQoJc+zYsnI6JNVamYgoMdjajceSxC8BMiN8JzeGMuTSy87cO/D8BE0cLoGVFWWLF4C0Buhkex2O9JJ0+7111+1XSq8BgL6oaGh57hnVamGHMwAABAASURBVFUPfKPG/+0jNyqUPXg41MLnhD7hMHlOT8+gVqsL3GT+/GlXVRf+kWW3272Mfjx9M7o5JMc/FJ9RgPbRP5MOQdAANeBgDY8fP84oPOFSuADq9Xpz7969S31mRR8DsfQQdqe1RLYTYwxcHJWR0WGEtP8VSR7YnLcasNYCK4p3PDjmFonGx9MrpcLLVMjrJKs4sse5avsZtPj844B+OoRBAx+lAYedX88ToGtcSF4W2apVo+98VP1zyR8I6MfHxx9RpaUXPKZg3RHnERRivfS5SBranPcaUFVsYGPp/XF4z0uIo7i7YsWKhf9rCMZal/O3xTFN1hoh/GO8VmaoqjiHJfxRGO6ggVka4DElXkyVJdxiokX4h0j1bdu2Dc+qNs+EmWf7szaHuJG1kagqLLv4EBsSxJ3wMngJwfDHpFDtc6IBJ+pfThljT444zTIj8hn4Wb9umq5WVVFVL3xRFLDuhY/T15/J9unwETTQ1wDRUqvX8EIql7J0wm/mAi+uXh/qgadfcZ4hVtE8OZyleT1pvC3YkLDIGOP9NIaCS5VDQyTcQQNzNACAy8TEhPcIypI4d3BvovyKK5ZMzak6r+RAQN9oNt7AkSsE6wG8hI/WarVh+Q1WcIn8cAcNnF0DaZdfQzDACrFD8kiqFDTm7F3PL7costUlHk+qXmgP9GZjCEwVG5SBdCnh+uxrwGEIaZZ6vBDqJYxlt9shYEgoreaulFlfpImp1qXWWr9aKTwfW/2yEH5aGvjs9UMTya8e+JM+GEyDA496oylbtmypFKeVMuureXRk+BhXKckDHgPgZrZfHsKggbNpQFVl0egibyy5B+QJYJHndtmyZXQTztbknPIGAvosz9v86ygCXlVFIRpXrcPjClFsVPgZKGhgtgaIl27aBT7KGTfYCXDkoijqzq45v9RAQB8n8RRWqJeMA1FV/y1LQcjMmYDRQEEDszQwNTmF4+3yFPBdyS+e2VmV5pkYCOjHT4zdzscTZaNbwzjBz3SgoIGP04CxxgOeuMnzAnFtr1y5cuEfWUY2muDAjDHCDW0BtyZJaji6d8zGQHwQPoIGZmlAVWV0dBSWnmBnkcNJThHBYNJDZkYl9LGW/lx7qDXqmUgJ4XMA3InBYPjXADqQ3s5VytBuoWqgXm8IDWaJY++8LOItIlGVspoqmfV5tVpTq7D5wCot4carDzOcv7IcqxZ5jAUKGpitAfoBZdEzliyJIiv8/ZtV+/YtfNCr2rbgqtXg0sx8HYFuDrLCHTTw0RrASx0aRREVVYWnUCCq+UUXXdSRCq+BWPpaPWlRRlXFY8oKRoBbvaujylDCFTRwVg2oIT5K7x1wAeRZpqhIQlDNPRDQGzH+m3J9EQ2A3n/LxjwkGQQKGjhDA0UO6y7qD0BUVbI0M1u2iJUKr8GA3phFURRLlmX+EaUK4REXhBXKvlBZBbnOUQOqKkkt8VY+xUuqEqd+jUbD5PlLjXNkedZm5qy588xMs1T5aFI99VTiAODfzJNzaH4+a4CY6XZT2MYeboyxOAN0fCPb+x8+Khr8QECPc/pxC4FF6J85yYtCIhsj2RuMOAlX0MCZGoCRxC2qKlHEAxsnkYmytWvX+oORMxucW85AQA+fxjmcsSrAbQzesOEx1YV74xxAjzyM6dykDa3Oaw0AHfzKgRjDmCA0Aq8B73yqHfZAQJ9lucPlhbbW+k2JxZlrtaIHbuebBhwMIo2liAqvnD8u4JxlvEoyVTLr83KFM6o918a50m9MaPGR5atwcD4SPoIGTmpAhPjAxlUIdn73RlWldJI4uPVS4TUQ0NdqiedLoBPgENqf5DBeoeyB1XmmARh6OXr0qB8VDz4I/FocZaqa+8yKPjw4K+J1ko2JTItAp+DMNBa7cLxeZpykvacXo4GCBk5pAKh3J0851LvHhSsr/S694BoI6JM4/gC88bhST4z3Xk4hBnOPG5FwBw3M0YCKJEkicRwB8IrzkFK63W48p9a8kwMBvagZo2RqjAd9iSPLLE1xTI+lrBgZCwMFDZxFA/QQ6NOT6CkkcVKcpdq8ssy8Wn9E47GpyfsNTmuKsvCbEp65Euo8wuTjC9D/iJYh+/OsAX7Dkj8BQl+eBjMChvIi/2xY+sWLFu3gKuVq5WaWx5YFfHqCXVVh/QcztYHrZ08DtOx9qRVWMcszKXlkAzfH4gXVUHOo7JdXFQ7E0rfarcVcrQS8Kn2zwvtoCqlPHySS4f6ca0CVqOgpQdXAn4/9C6oCLzSJIbzziaTiayCgh1VfTZeGoKfgcRzL8PCw8CeYVRW+fcWjCOw+8xqgMSTQ+XLK4d0Ol4LDiYe1ht/jslUOcCCgF3HdEiuVgpbw66c7vb8BUOVQRGYCCVfQQF8Dqurf3DeaDewDC2BEPRlrplW1kAqvgYB+enp6hP48SQSWHQugvwgkXEEDH6UBbPrgJQixkuPEz1pLryD9qOrnmj8Q0EeRWU6BSXRtarWaP3M9VyFDu4FqYMEwVxX/N7HEDV0bCoaj7lHEUcJUNTQQ0LtCIoJdVf2qpS/f6UzD5sPxgZ9WjeiBy/mmAVr4qakpAWykntTEGiPG2mjXrl38Y+vKhjsQ0Nfr9f38qykOQlXFwb0xGICD2KqVLlpwDPf5ogFrjSxd1vvfM4kfUp6l5WWXXVapizMQ0CfN2j48kryVp1/PuCecv54vExTGUb0G6BFMTkxKzxlwsPiEp9/IVnpWT66VSz81MbmGVp6MrbViYOV5dGmsYdbMoHw0fAQNzNYAHAEDvJCsNWJttf9bODvroZCxCgmvkP2rYwPh6c0Q8CWtfG8JV9hTYHU+acABI/QMemC3fmjAUtNHKvyoBvRzBFKjwpdTJXx5j3MiHysYzytfk0kfCR9BA6dpQFVxysfvaxXeG6CxFNFK/z5WcA0E9FIqXq6VQktPX76OI8ulS5Z4Hx99hjto4KwaUFWJoxi2UT1Zi3P6shwGhvSsDc4xcyCgV7w4pjwEvbEGb9hySbMMA2FuoKCBs2sAmBf+uaCBW1wUObwFLABr6lvefnv12VucW+5AQF9mJcR2kmepcInSzTFWRdmbE58n4QoamKMBeMPCb1nyqJInOSnwU+R5dsd11x2ZU3VeScJwXgzO1rg51Gjy5ZS1Voyx3q3pdPnfqvRqez+/Fw2fQQOnNKDi/3LKeJPZy45s1FX9DPyNLGRvc7XCF/OAh3EXLgII3xtJ+PQaCB+zNUCPoPdGVr03UBSFFEXefP3gwaHZNeeXMvNrfvbW3TQrRBU+Gb8K7cSaXjdcBGyBIgaBggZmacAaI0mc4OSmhIdgACG8zYdbkO3b52ZVnGfCzLP9WZtbuDWKEoIcMvsB8I/cA9ihlHCfVQPESlGUwj8xLXFez7Q1RkwUObnjjuysjc4xcyCg5986Fng0UXD6Z6pcseU5ihiafV40QLyQ4jiCtXee1Km7Q6RS8AwE9J1uZwknqsR2nMS3bHhWMStQ0MBZNaCq8AgUJ365iCjiRvg3skWRF6qfgT8iwRo1YqyIGr+RLWD1jTPiSjg9uPH0knAFDczVgLHG/++CtPZFnmMBZFK6Yq4/P7fZJ04PxNJjoY52Oh3/U34FXjKoYgXnPbfM0cn/xGKGBp8HDfC7N2mKdzvAizFGrLXSaA4VVY99IKDHDtx/X6KAhefRZerfxhqsBRFVBUm4ggbO0ACgIWq4/3MAfASyknbT+JlnnuEx4Bn1zzXDnGvDj2uX1Gt7a/W6FzpJalJLEpzT9zYnH9culH2+NcC3sN1OF0ZRoQiHM/pCEIsvueSShX9OP92eXhPh0aSqOKu3wg1Juz0tqhgChhPuoIGzaUDFiLFGeNEN5iEIIdNqtXqZLKiAKmV2Sh4dAcL9K+U4Tnx2o1HnUb1wMMGt9yoJH3M0QIDzK+kMeWZPrNg4nr7pppv8b6POqX7OyYGAvijyVt+m87iS8TiOxeEIU1W5Hs5Z4EoaBiYLUgMEOdAhaZrBNTbwEiKBuxNJxddAQM/VSrAX2Mgy5GCmplqi2JEzXvEYArvzRAOqKgYYSbAHpDdAa1+v1aKXXnppRCq8BgJ6+GW2D25VFcbr9ZogAiuvFYofWJ1PGiBOaCRV1ePEWotz+tJE0ZKej1zRYAcC+m636/nS0nMzwmPLdrstwdJXNGvnKRtVnXk5VcI+lpLj3Q7wUzQa10xUOWQPzioZktfi0UUHVBXHlDF8Mys8vbFYtRgJiwMFDZxVA3z1Ojk1iZeaOdwc66093szq6Og+e9YG55hpzrHdxzaD/76EVp5AV1Xv1sD6A/PODwT72Y9tHwoXpgYGLRUPOogbQoYh+zM2yi+66KLeLwAzowIaCOiLshgm4Omf0U8D0rFyjfTdG+xVKhA9sDjfNKCqEtkIpzb0EIzHDN7I2i1bJKpyrKZKZn1e9Uaj1d+Fx3EkcRTJ8uXLhCtZFZa/XzGEQQOnaUBVxUZWeOV5ATfHH12aiy46lDCvKhoI6LM09UJiEyJl6bzwx4+PSd/SVyV84HP+acAY679+YOAOkBxeaSKs1FIOBPTi3GSBnXeWpUJfnu5NY4hvZEtR/+/8m6wwovlrwIGFklQFN2P888FixYoVXSQquwcC+qReK1VVDEhV/fei+xsTwcUXDwjCHTQwWwMAxnRnGt5BAbsp3qfHQuAfkfS+lz679jmnBgL6tNttqipWqwrfzuLxJPwGnSrkxMDwGe6ggTM0wEOPPM/9MXdR5FKWhZRFEe/cubN+RuV5ZAwE9EZNm9+yNNb6AViEtPp9ObEe+tEQBg3M0gBOawB253FjDN7I4nwbLnI8q9I8E2ae7c/e3Jg6V62iVLVn7fGYwiOLn8gMd9DAWTSg2LzG/GKiK30prb0a7V577bWTPqOij4GAvl6rjZdYoQQ+BU/T1Iuriu6wCHwifAQNzNEAjSRBTwtP4v9VRvd4TrV5J4HCefM4gwFw3Sboi6IQCm/h3nQ7HVh6rODg05+hr5DR0wD9gAjvdYxRuDhl7+hSTW3nTrfwffpWa3o54I0TVhFuTAj+oeaQiMNaxoAC7nuT/GN/fk4qAh3SqDcAdqAHiS48BGBHy/JErUoVDMTSW5j6OE5E1cC6O6GvZtQC9DOiY0AzsRAEDZzUAI3h9PS0Txtrha4OTnBcWS5Z+N+9iSM7papizKk1hR24CPIEFweHINxBA3M04PzLTOJGUcI9Idzk4tVXfzdHsrL7FCorYynSnu7U6dZQaM8WKMdjykf5MYN9RgMFDZzUgKpKBJ++xPl8jv0g8WOszZ944oniZKUKIgMB/eLFS3b0QR5FVmwUwU8rhKuXMmMNMAgUNHCGBpYuXQqslN5LsNbyxwXizc4t/HN6rFCTJPTpVfIsxyAK758hv+fj99Ev4QoaOKUB4mN8fNxbe+YynaWZvejQuX3LkjzORuZsmfPNS7PuVeQBf0wUpzXWGFEAXVURKosCBQ2coQGHnG6nK0ZxAIL3PMRUI3UwAAAQAElEQVQPrL15d9eBC1BU2W0q43Qao243XUKB+9R7OdUDO1fvaVVDNGjglAaIesAkTbveO2AB9obZBcuG9zBeFQ0E9Ea1I1KKMRiBqH/RYCxERm+qzEM83EEDMxroG0Ke8AHkYuHLG+DE/xVVEqdXX331wv9qMcA+yfGoqqjqjD/PnEBBAx+tgVq9Jo1GAxVoKB1C4Z6w9vw77yz8371JarWLeELD81YSv1bMUxzsYv1AwkfQwOkaUFWfpHUXUWGSxCdAZI3c/4Uv9N5YSTUXHI5qGJ3OBRuRfUkSQ3j1jyqe5PgvDnEk8lm6gqyD1gCBzT64/xOBdae1REYcJ/gUKVwpb731VqU4rZSZlxIfnenOyb9e56DopzF02JGjONxBAyc1oKo+bgyhiDhuYoXveUiRidIbbrih9zVdX3P+H+xp/lzmcBhZNLKRAnP1MuQgSKoY0Zy6IRk00NcAjbwrHQ5AerCMY7zULEsFdnoZ/YrzDCtl1pclT4u6ag/gXMFJ3HN1IHy/SgiDBs7QQAlXhv9rjTHWH1mmacZDkPrTL7645ozK88gYCOhLLa9J09z/5HKWpf7rxd1uJqIGe1n6bRKuoIEzNGDg4tBA8puWZVlgTyg4vclcMjzcPqPyPDIGAnqsUCN4TJHo3tCn76YzbhnytfcQmIfYoemC1sA8hCNearWEFh6gV1Fj3GVLPgNfLe502oWxll8WwulNJP5S6Q1CFdZewhU0cKYG4NRzHyii3jsoYSCzPHMTExcVUuE1EEu/bPmKo8C4qPKzJy2OMQF256mXEz6DBuZoAHgZHR2VsixhLK3wmLssSnf99bLwQT8+Pn5PiVXLR5WFxTfWCt+2iajgcSWqEq6ggTM0QFgQ8DzwsLbnIURxxB8OW/igt6pHuSnpjcoJB+OJH73M8Bk0cIYGHHKyDAceeEnFjazDaY4ROPXOWRRVdg/EvcnyvBvBunPV0to7WP3p6Q5cm57cSPYi4TNo4DQNOLg1PPToWXkVVcXRZWYPHJCF/4fh8MXqBVYpf/yA7g1dGv5cN8aAIToMBsHH36H0c6gBGkNg5zR8qJQi2u3u6n0nQaq5BmLpkyiepHWP8VLKGCv8IpErsYklQW4HCnfQwFwNGGsEPjysO6Au4sFvjU2/+93vLvz/cyqOYuC893iidTfWigVJuIIGPkYDirJarQYvXj0JLmuN+9Vf/dVK7aQB38rvvMxWGWOE1j7PufF2/j9mYEeqHBpjgYIGZmugKEqZmJiAhe/BMs9zHF+62htv7Fk8u+b8Uj3u8+NxRuusmxluYAl8kmCdYsVKgPsZqgoZp2mAGKnXe7/gR/+e7jFOc9zq1Q0e6ZxWc37RgYC+Vqvvp5UvsRvvi6d6qisOqJ8fwio18BnnBauIl1Hw6QtPxI8xyrezPSe/ouGdQmJFDMkmSqJdtPC09qoYCTL5qILBRyzcQQNn1wAPO9IsFVU9ScBRvmbNmu7ZW5xb7kBAPz42do/FxlVV/YrtWX349jDxjCP73KQNrc5rDeB8T2jpad1JJU77VLV89lnRKgc+ENBjdXb4l+209AS5qEqz2URgQJXKX6UuAq+/ZA2oqNjI4gBEeD4vxuIwpHQNU3vxLqnwMhXyOskqy1KYdYHwpxyaJElQfiqNRLiDBmZpALZRrLE4sSlFFUuAZIw26sPxrIrzTAwE9EPNkUljjPSpwNFTq9USjER4wcthEChoYJYG6BXkBX+gGI7OqUMQN1RrHJlVcZ6JM0A/T36+edrtLFLVGUvvgHVFPqln/VGEdLiDBmZrwCFJP15Ehd/S5SIAalxZU/87SlLRNRDQmzhullipFFowgF6IIcHEqyoWg4QraOAMDSiwUoMbbHBMyUIHDJWuLIbtlQvf0mfdbodAJ5UQ3FgrURTzHRXHEiho4KwaUFWxwApso/BbujCTcA2kuOwyWfgvp0rAu39yQ+CTUv6NLEbDOMYm4QoamKuBvChkcnISnoCTAsZSVXHkXcbvvbdv9dy680kPxL2pxUlKcHPVcjNbYjBFgR25wREUgD8fgUPb81cD1hhpNPlbls4fghA3FkeYSTKMU5Dqxj0Q0Ce1aEccW8FCxUotEBr/1+1cCKoq5+EVhlSFBgANvpwSUSnz3Ft8RCUfhdmX6q6BgB7Hk3dQRFUVVfWrVtWIiogqPyVcQQNnaEAV2MDtXOmNJL0Ea0xx1dKlnTMqzyPDzKPtRzZtNhv7oyjiF4V8HVWVTmfar1wX3Buvk/BxpgZ4WlPkBTazkZSl8z8hA7yUqFmAKrsHAnpro51ZlolfqdiNc1M7MjLsrbwqlnJl4gdG55cG1BtGVQV2tPc3GE6iXbt2LfzfpwfgL1Kl4L01VZSFdLupAPUSrqCBj9IArTssu4eJP/gAhrppCitZ6d+QSA+VHyXFOeY3m829dG/6za2xPsoBMYKXzAwCfe41MFsBipdS9Ubduzb9ksiYMoqmFv5Xi2HVF9O1IfBVVRiP40gU/wRXP0Q03EEDJzVggJVut4u9YIZTv9y7NyayrtO5iH79yXrzjQzE0k+221d1u5moGqF1N5ah4JWVYBVXKv98xx/aLyANECvc/9FYRlEsxhjBEaYZGTkUVSnmQEBvRFdRSPj2CPAyGSc2UWR8nANBEvFwBw18lAZObWjjOKGhBIg+qu4nzycSP3mrv6BFc2jIEdysZuDPl3i3QFLtDYb5gYIG5mpAVeXCCy6ccW8KX1ziECTqWUyfruJjIKCH7McMHk0kCknAZ9nMGzZkoByf4Q4amK0BmvOxsTGJZlwbEW8kzfT09ML/IxInOsU/BOemhMQvm6li+zpDUuEVWJ0/GuB3bfiFM2KH/j3gItgPFmV5yXSVoxyIpS/zAidNBis28m/V+FsmPL2RmQvezkwsBEEDpzRgrJUVK1eIRWitEQNvQUSzyy6ThX9kmWbZYro03Ilz1Qoui4H44xvE/VgQhjtoYK4G+AtnzpUAvPUnf0WRJ4cOHWrOrTef9EAsfZxEE8Zav2K5WlVV4JcB83gtFY5u5jNf53dbJzI1OQWw42gbwHfACsgeGmtfVOXATZXM+rzSTlpS8j7gMRa8bCixLRFRVQlX0MDZNACAS1LzR5Q4wekffGi5dCg+crb655o3ENCLuCLL+Vat4BnrzACwDiAlB4Yg3H+5GliYvcMeWmP9XlCNEVJRFA57wqxKgU2VzPq8SoFLpj3WBDlfLzcaDVFUUOUnIuEOGpijAQVCLNxiVRVrDLyDAjmq7Xb8mXgjK/2Lg2C8H3IRMB0oaOBMDThRVfFuMUAvuIw1rtFYtPAtPWStqfoXC3BtMu/ilCU2sShQVXyGO2jgTA0Yo0LjyK+vpGnq4zjqLlsrJJcKr54PUiFDslqybMn7XK1RFGHVWokTbk4KuPqOxYGCBs6qgRKnNe3pNqy9+J8AUVWe+sXd3bvXnLXBOWaac2z3sc1aU1NpiTdQ/TP6tNuVqakpDKZn/dmYbs6nTjg0Zd99+tT7x6RW3Wd/LAzn8mbe6TS3/PT06fUYP71skHH21ScVlUaDR/IqAsATPzSecRHFUuF17qD/GCGM6EXWGomw/4isFYvHFuAueZEJF0CeFZLlpWQI0zSXTieTbrcXthHPWQbCLSk+uqjT7qTSzXJpdVPBgSja5pLjEZgXpUx3M/BIpcxzYd0u2nRQt426uah08kKmwWOy1ZGp6a500O/45LRvx7ZdpDPsvhm2Ol1pg9802vfjLJtqdyUrnG/DehnctcnWtLQgV4p8ypQibwpp8m+jb5ZNc1zou4V+OYYO4tNpJm3QFOp42dDXZBvyII9tyX8a7Xohxgb5Uowzx4PSt4OMUyTwbCEkkTfl8/pCfT8u6IHjGG+1ZWyq7cc1BfnIK4XMXhb0g2rSht7ZH8dE6kI2prvQC/nm0CG/UtJBfznGSUqR14ZBK8pc0rSLjWfuKcU4uhhnmhaYlwxzVfj57SI/RX7J9mibZSnyU5mEbNPTqaRQdHNkidgIngHGqgjVxvnixY2DUuFlKuR1kpVzhaorRGHZYPBFk7q8t+eQbNi8TZ7a9DroNXn2xVfkhy+8JH++/kUfPvfSZnnq+RflGeQ9+9IWeXL9C/LsxpflOdRb/9KPfPj0+o3y1HMb5dnnNwnjz27cIs++9Jo898qbnp598VXf/jnwID3rw17dpzdslA2bXpHnN22W9eC7fuNLCF9B3mZ5jmnUZdlzz78kL6Decxs2yfoXXpaNqP/chhflecjxDGR9/sXNiKPNhpfkaciyAW1Jz73worAPhr1+tsimza/5/l585TVZj/aeyBttOIbnX3xZXsRY2cdLrIP+nvE8X5FnMNYfPvtCrx3qP4eyDZTlhU2yAe04BoabZto9C3kpO+kZyEnZnoE+qQfS8y+BJ9LPgvx4wfMZ6PEZjG09xrTx5R8J05SRen/6xS3yJMb4DHW8aYusf/lVeW7Ta/I0dPz8y6/Lxs2krbIR/W94eas8u+lH8uxLr8r6V16X5ze/6ueOc/zU+pfkWfDfAP6U/2not9f2Ndn06hvy/Cs/Ai/Uh17Wb3xFDu7bJ1IWYoGfyJQCezm5bNmyiZPgqiAyENA3G/XXkyRxqopNrMPqd9KBRZiYakkLFnMcK5uWpYXVTYvZxZn+ZLsNa5yCunJ8YlImUHZsbAyWGRYQbTuwPDAcksMqTsNydWFapzq5jE9Ne8s9AZ5jkx1Y3gxtUuSV0oXlOHJsXKbQ57ETk8L+JhGfgoWkpZuGRWR8GoxpCcfBA008jzYsYBsWv4WQ5W1YqMyp9NtMtjvCdAuWcxL8JlpdWMscfTr0k8kEnipjk21h2eHjYzIBOVsYE6kNuVOY7dZ0hrG2ZArhBOQ6MdES8iWxz15fqc8bR/vjY5Pg3euDT4Kpdirj6IOydmCuJyATie3ZL/skUQ9p5qSLPrNChfqgfC3Iznbjky2ZwFNrCvIxn2Nl3xmscQofu415m0T/lAkPBJlAnycgy4nxSZlspXJivAW5oHfoYHyijfSUUKYx8O0WuZe/L1MBTBybmJBxPNmOjU8J5ZzC+FvoexIYyFHfAfQ0mi7vSCTFeAU4n8ViIKC/6QtX/rqx0e4Cj2RVlSLriuSp5K1xSVwXlEnhnwIOi7qQHEhzeNxajcSIFWtjadQbUq81pBYnEqnFhhjDx6RZlImqOGNEwIMWoexOSiyFJDALnKgMjxdUlRT9J/ARu5g8i800nj2+nTNWSrQvwUdsJDn4lGqkdAoXDDIhVGMlimtio1hKUcQTKUonzHeoa5Bv0JZ1VK1YyCnGgr/1/BSb+AKqxrCQZ8TWar5PyiXWetnERiiznid5g72Qbwa5s6Lw+aWqsB7bUG7KihJR9o8xsd8IfZMoK2VSG4mX01jftlQDmUQcQmeMMF2q+r4LyJhCXwXSzFPITR5oKZJ3RQE8Regwf+pKiaBnFScGZI0RNAMH3CUIenTgpWolh6upqkIjBcWKJLtkTgAAEABJREFUQd9QgJ9vi3gJxRgTC4QQi/p0g5mXK/Kgd4c8hR5WLhn+F+Bc6W0q5TbDjI+ji1ev+GXn8qxRw8RCQSmUIPDROtByF7ObYdCloHsTibWRiFpRVeFVFgZPhkKmYC1TWOE0K6A3I2oSyaF2B+AXCr4GtbGIYk0ltoLpEImskTLLPNXjWBSTwDBSFVQRg4lhnoM8OZ4gTJNiY9A/5gATi6piwUcQL/qWB2MwEM9bIcRz+KMGGSXKU/qz2F+wX/JmP4x7vuDTJOAhE/P7/bKeLzeQl5YNvOt4BW/Bs5bEkmA/xP5Zj+0oP4ltmMeQMpdoC6mFIeVWyAYWkoAH6/fbsn4BGdk/Q+aTD8MagM665MdQoKMcc+MITrVS2ESmS5UM82ZcIa7MRIwVGq5C0DviJsYcIm7BC83FYk4N8ksk1FpUt2JRx2C+oygR0Qj8BHukAk/HHExUavVEbBRjv1PKNJ5cQ8PD37vnnnv+rVR8mYr5nWR30/XX/PE9t9x2mTHZs6ND8WQjxhlA3pKazaQmqTTLljSlJUk6LrV8UoalLUk2JvViQmznmMTd47I4SpGelKa2pelaUrdtGYrxpADIo2JSouyE5BMfSmf8AACbp4WNOs1mbXqkWZ+oJWYsMm4iitxkbN2E1XKsFpvxmHnGjVnnxmuRmZAiH6vHZlzydCK2MlUzrlWLdCLvtH15I7aTkbhJybNJW5aTLk0nTZFP1IxOIJwE3/FI3Tjmc8qYsoX0pHHFJCCBfnXKqpvKu50x8BjTspisgZ+VcrxRjybLMp1wWXdSy2wqciVkKscU8kTOTSSqkwgnUX/cFdkkVvGEwWg5LiPFmLXlpJF8CnwnXNodU8gvaQoZi4lYZdy6YlyKbKzMu57QfgzjG4tMeTyJ5BjLEqvHY6MntMyPQebj1AXkPeHy7ERauOOlRsfzUo91ShnPnB1L825Likln83HR9LjEOeemK/VyUlzrkMTZUalnxyVKx8RMH5OmTMqQTkqtGJNaPiF1UJIflXJqH9qMSdw5IbUC+aCmjIvtHpG4GM+bsdt3+WWX/ez4kQM/o6qFVHyZivnNYnfJJSv2f+3RR9atqGcP7X7lTw63tv1Adj/1f8nOJ39LDm75nhx85XtyfOsfy/6Xf0/2vPDvZfvT35UDiE+8/QNpvftD2bfpd33Zwc2/L3s3/568/P3fkA3///8im37/N2XLH/4f8sJ/+N/kqX/3P8l//L//VZGe2PfXr7/6smuvv+zqy2+65tJVFy1bt/LWxx5afecNX1h909WXrfyZrz++4puPr1t5x43XrL7wy4+svO7KC1b+1FceXfmtrz664vorH1z9rZ98bPX9d9x0wVWXrrnklmuvWP3tr3955dVffGDlDVfft+qmax9Z+Y2vrFt58/WXr7r1xisRXrHqOqTvueOGNd/8iUdX/vRPPrbivttuXHPL1bdfcO9tN6y59/Yb1tx3x02rr7njxjX33nb9mm9/7bGV3/76l1bcv/bGNddccuMFt153xaorL1hxwdrrr1515dqb1lxz6Zo130Kdn/rJLy5HuPxrP/HwqttuumrVHbdcs+qqLz+8EjxW33bdlauuvvjRFT/1OGT+yhdX3n7tVasuXXXd6uuufHgl2q385le/uJL1v4HxXHXpOsh9yapvf+1Lq2648uJVGPvKy9csW/nTX31s5U/9xBdX/PRXv7R86VC04ps/sW75Nx5/ePm3vvrF5dDFsm999dFl3/rKo8ue+PqXlv21rz647ImvPrLsZ772xeW3/uS6lXd+45FVN18+euXW9X/w+u/95j+TDf/+N+TPv/s/yHrMxyt/8K/lnae+K1v/6LfkzT/9Ldm54d/J4R99Tz586Xdk9wv/L+j/kyOv/YHse/l35V3M/3s//K4ceOn35MQbfyQT2/5Udj7/b+W9p38b8//viuLw2//0zuuvvOb+m6/67SeeeKJywBOgAwU9OyBN7n1nUo9sc+0PXpbGxE4Zbu+S9MM3pDj4pkzs3Czu6Lvijr0n9fY+yQ6+Ld19r0lrzxaxY++LID8/9Jak+9+UDsqmPnxTWvsQP7RdimO7pJGfkGVJrq2DO8euv+KC3VdcserQ5Zdf3lm7VrOLVacvuOCC9tVXX91V1RyUXnzxxdNrVbMbbrghRdrnX365dhCfXrFixSTyj7MO0unVqt2LL9bpmfIO88mbxLLVq1e3WA+UrVy5curqq5dNMI/Efm9AHvNZDsqZf8MNrHd1F/1Mkc8t4ME4yjNQMUO+L/Z3g2pKXqx7ww1KmVkvY9ktt6xuXX21cgzMg6wXT6N9ynozY0bcjzNbu3Yt65BKzsm6deuoD4f6Ps08xkHMc0z3iTKQbrrpnkPHdm3dP1xOyPSh98RM7pP08A6Z2v+OHN+9VZrpERlOD0ptao+UR9+T8sh2abb3SzK+G/P9pujR7TI0fUgWF0elg3mc3vu6tHZtkXhsp0QTu6U2vd81u0de4Nj6fQ8i/FRAnxetxSabWhpJLgU3LyqSGCcReo9BBn5oHFkxqpIk8OskQzwXJMUaESOlxIioqii0oMrNJubF+4d1tDYaJ7bnVKI83IPTgIpbJMaIYr+UYwo62Kt0skIyp2Iii/mLJDZGjHMgEatW4igSoyIR5tDaRDLs0wR7LYfNcWwVhxZ1iW0skufRkf0ffFEGfJkB8/fsrUaZM8ZZDN5n4ENVBV6+RMgrigI6KMVaOxNG0KsRVfV5Ro3EUHKtVpM4iaXEBrOE0jIcdXaxGS3Korx4zZoDEq6Ba8CoFWt79kVV/RyxU85liY0uppJJn28Afs5thoVRYr56dUphHstIqiosYx52szJ2fOwuz2CAH2aAvE+yXjW0+FC9UT9usdtTAJgFHKhqT2kENNN5nouq+sXABcB6BDWVw3IqhopzUK6qCky8GGuESp3otmPWDzRYDahRIL70c8S5UFWxWAQw7D5PlWnrjRTnUFVhwHO8ee36kHNssBgEF8vJg6Sqwqd8s9lsoWjuXWnaVMrtI5iNXt5MReiPGqnXE+GgVVV4qZ4COcHPPIKbIFft1clwPEhlZbAYBc7cWdZfDDGOuBqNpmkOD02xbaDBasAa02UPBGp/nvxcYK6MsbBDzhshzhHrMLTW+jlnPbYhqaq38JxXVfVtWL9eSw6R/yDJDJJ5n3d+KC5NFMOMGwwO+IePrqretaF7o6reSqRp6hWRwIUxxnjrQB4FHo2ogNsJFRjB1WFIJbEcitX9u/Zfy3igwWpg6dIl73OeiiLDXKioqgc052gab1lz+PcENcHMkIaKhDlCfSu8OOcMSX1Dx/nmnBauxJOEJYOjTwX0E1FLC1doUeCxCKdPVT3gVVWoGA6YiuDjTVXxGCyEiqUSWNYfvge5MuW8spmm9WBOqz01cGWxn887HT569JoIG1bOF0lVvaHK8QSmbjjHnMd6ve6NFOeX+QQ36/fnlHPHuWWa5YyLYO4z/7ZNBnl9KqAfmzoWubKMMSaAPfb+HpXB1d8brHgF5fDpmU9FUEksI1FZDEv48kYN6goWCx4cWABUrqqWKy+4cNcgFRV49zQAlRf9JzH0LobHMphYh8MFzp8i7eDg0xjRwnMeSZxT1i/51AYrPq05p4gKQ84xUCBwb9rMGyR9KqAfkREp88IU8MkzAJtK4eOx02kLKcfRVVnmAHPhicAvcB7GMGf90xY/H6Ow84ITMlEce1KHZZmVi5cv2zdIRQXePQ0o7TqV3ktKgXlTrATcPqcschikAvPovHEjoFnAeSTgrVVRHDnnWReubhd1M3DM8XRP0aaUTjpd6c99sO+59KmAvjR51G5PR3RZSlgBDp7ApzC0ADyKZJzEFa/qVestAMujOPLxCKcEVB5YSGRjUbFio8Tv+rtjE4vl465QVokG8iyv0YXh/NGS0x5xPiyOnq21mCcL8DqEZlZ/NGB94vyrnnJx+wvDYn6N5ZubWU0rT8yWrHL2PYYTeebqtZqjr9cfIIE+NDQEdyfCSi+9klhOxVE5qiqMcxEwpFKpaKZjtWIN27neZtdGJd6mTki4Bq6BWtLoWkNgK8BNmgE4Hr21ekNo1CgEFwSJc8l5U1WxWBR0dSIcRHAeSYKLi4BlhRMZWbz0LWQN9DYD5T7DvGaT1EbWH3XhHFY4WCqDxDirqapwQZCoGC4KKqPT6UhOtwjENIlKdEXh67M9lFsOXXLbUQnXwDWQFwWckx7YVVVK7LPSlC6KkxIHFdZEcFkKLAgnqiqcT1U9CXhVFQf3qATxqa2qvg6xwHmtx/Xz45x+OGvghazJqQAOlquawOYgAVivJOZz4CRVKMY5YbmqCq2Hak85ZVH4NPcGKY44O50uF4U98upzQxKugWsA82Q4L+yI81iv1wBoHC6IkxK+jsFGlvmoxyp+Dn0c88e5Zdt+yHrEBMHPynzDPtmaWM74IOlTsfRJo8DYbEKrnGOj0263vVtCBZBQ6K0CB6oKkMMK9Hf/bKMswCKgsmxkJcfmSSB5T8EGFqbgY2QpqwUarAZg2HNroXyAvMBccv7olkZwXYwxmEecwWCuKAXTBDypwIFEAYNFsjN12ZZphqwbRxEMWNex7SDJDJJ5n/dkWc+jyE5zYBxwktQkSRL/WFP1kIaVKL3F56on8UnAOlSIUpkgatTHcQIgeMFlrICHSL2WmAOHDtzY7y+E1WlgLqeRoea4A/INLHocR8I5sNaIjQgl+veKadKT82sBcBKBz6e6qvp5ZprzTNCznPNc4hQv7VT7Y61z5Wfa8GPQNGI6UZ5mdQ4SKhEqjINURWqGmCZ5WYwVi0gCcEO3eESqiFqhJcBxMNpbUdYxRuqJkbTblVpdIgnXwDXgytLDuxbXAG6L/kopXVesycREhRT8hqwxKFPMm/NkkO4THwIlFo2qAfidlHiqE/gs5/yn3WwRmA70NgPlPsM8qjVNURaxA2L7g3QYPRdBn1jVwirUajWJjAWoRQh4VUGoUFAm0zjXjyNFWgTrAaERA3en0RxypTED3wBJuGSy3b2k081haHK4lSpSWikyJ+oiiaKGFDnmxBjEI7GYT1X1wFZFXeGlWAiCM/pcVNXX87mIx/5UJ86YHiR9KqDftffD1ZOt1hKuZoDfD1aVg3deMcwn2Kkkv+q9v1hIhtMAJ0YyPPa4AJYt5kuuTLQgUeklJiGVbmkn77/l8ecGqajAu6eB+pJVb6Q4nnSckDKTGACvRTVJO6UUqUo9HvZA5pyyBY0ciUbu5PyiDctYh3kkVe0tDmMsywZJnwro64vrraFmY5qA5mAKgNnMDJwK6RM3rSTD3zuBUnMol3+kQAvg/T0cWzo8FktRLAsjubNikhG38oIrv3vB2rUDf31N2T/v9NhXfupX60uWf1hoKRncmtJ14NKkEtUFc5JKXrSk//TmYYTBPKvqSeOm2rP4nFPONTHB+VdVGLdcsCE+LAO+zID5e/YNa6bhj3c50DiKvVKoDIiWF1MAAAYMSURBVBItAENV9flsAL8Rr7cL4UuMBI88QtzaRFKXZF2Hc9zaopYko6mpL/lw1aXX/aNf/dff/4dsF2jwGnjs2z/3wd2PfPWR0RWX/Zva8IoPMtOcLpOhqUzjrDAALfx6zimBzHll2F8EBDglZF4/buECkZhnjZWR4aFjrDNI+hRAL5KXxkIRlkrgYOI4Eg4aeUx6YpwD5w6fGc4Z+H5O8MyTHOfx4HHsupvueuKuL3/tltvXfe2mS2+6+9E7Hnzszv/2N373f1XF+xI2CvSpaOBv/P1fe//Xf/vpv/vNv/KLt9xw+5fueuzrP3f9xdfc/kQUL34vSwX+enbSgFEgzi2Bz7nlHJMwZ0JinOUMWXdsbHzg71s+FdA3hustVTPJxx19euxhgeVSuAgsVjoHT4Xw/J6Dt1Hsy/giSnG2W4tjqQ8v2v6zv/bb3/9bv/I/7vjOP/gXO//RP/83L/yNf/Tfhz8RJFL+kmjdE39/6u/+2m+8+VM/91/t/Sf/8+98f8Xqi59XiYTzaaz1Lo2PG+MNGMFN4pzTteFcEwMkDkFVZNnyJXsZHySZQTLv8z42MV7DW9WGMfDb4JfTT3c4yekTB+uwEvgEoEKyLEdTlSSKxOK0hm9d2938atSBWlAU7oWpAZVLY+M86K3pAZ3AtjMLgPNLgBPwHADLMKe+PtOKNh/uP/Ag44MkM0jmfd7Xrl6SG41KC4UYScXFDSHQSSVeXRd4s4fxSpLEsAgFNkQOoZMCC6EQKC+uS6lmXIMb01fpggxjKV0ERMFUSZkXmONC4tiKxZM6rsdiYicGFYqikALGr8xxClc6USklRn5kVZr1ZOCGzXwa2tu5c3JZJ5URYyOpR5HgwF7SLoBdRlIWVrAKMPBEHOPMK40UeQ5fvgvldMRCyizPwzm8LOxrrFN8mMOgRTUrtuYEh/cgESlKMc6Ky2HAEKelN8Z6FzbjAihVCqfSycUtX3PBH6DFQG8zUO4zzIdXXXg4Glq8PcWgDdYxLIJoJFjfhVi8US1x6KWQxGE/WrhCcpzDG+OgJOyKnEg3LeXSK67ZNsPu8xF8Bkd5xXW3/59TZS2fggXvFiIKCx8l/imNwwxMpFqh1S/KUnI8z8UACRpLB3XboFauxYpLr31JBnyZAfP37G9b962xC6644VfSaNHRTlmTbo7HXAH3pZuJQahY/SQLvcSw+dbGUImKQimdPJJ2mRxfNLr6n3pm4WPBauCx7/yTF5PRVb8Vm2SqFiWYWxi1MpUEEK9phi1uR2zZlVgLqSkeAN2OlOm0CBaJyXPXbI78/h1fW7V90AP8VEDPQfzkL8imy29c+xMycuH/k9eWvp4lQ2/nteGDbU32JotXvpI3R95Kk+b2bjK0J09G9pS1pbtcY9kr0ZJLfvfKWx761hf/9n+3m3wCLVwNqGrxS//yG79y0y3r1pnG6t+ccqNvusaKTWltdHPRXPZqOxraMSUj283ImvUytPzPysbyP3X1Zd8rksV/mJrRf/3ln/z5X1QdzO9Xnq61Tw30qr9WPv4L/3zL3/71f/+zD339r9//xb/6nbu/cN83brnuS3/ltof/3j9+6Bt/87++69af+Lm1tzz4X9x26wP/+W33PfY3bv/Ff/jfPPRLd/2Vv/rNX/6X608XOsQXrgYI2gf+zr/c/HP/6vf/wc0/83fuvfQr31731Sd+8aHHv/3z99/7ze/ccdfXf2Htd379nz32t+76m1/7e7/5C1//5f/9h//ZmnW/9K3/8t889Q+u/NIT45/GyD410PcHA2tQ3vL4d1rXPvDzk49/5x8ffuynf/nY5Zev66y+5fHWPV/96xP3PfG3j5Nu/tpfO6HI1wH9cm1fnhAORgOKk7Z1656YWrfuZzsX3/fENGntl35pnHOsujbjvCqsOuqV/HVihHBuByPLXK6fOujnChDSQQNVauDH4RVA/+NoKdQ5rzQQQH9eTWcYzI+jgQD6H0dLoc55pYEA+vNqOsNgfhwNBND/OFoKdc4rDQTQnzGdIeN810AA/fk+w2F8Z2gggP4MlYSM810DAfTn+wyH8Z2hgf8EAAD//61d2HMAAAAGSURBVAMArPXsosjDAswAAAAASUVORK5CYII=">
          <a:extLst>
            <a:ext uri="{FF2B5EF4-FFF2-40B4-BE49-F238E27FC236}">
              <a16:creationId xmlns:a16="http://schemas.microsoft.com/office/drawing/2014/main" id="{5E49F639-F4E3-4147-A5A1-C483550EDA87}"/>
            </a:ext>
          </a:extLst>
        </xdr:cNvPr>
        <xdr:cNvSpPr>
          <a:spLocks noChangeAspect="1" noChangeArrowheads="1"/>
        </xdr:cNvSpPr>
      </xdr:nvSpPr>
      <xdr:spPr bwMode="auto">
        <a:xfrm>
          <a:off x="1341120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19</xdr:col>
      <xdr:colOff>504825</xdr:colOff>
      <xdr:row>20</xdr:row>
      <xdr:rowOff>9524</xdr:rowOff>
    </xdr:from>
    <xdr:ext cx="1171576" cy="333376"/>
    <xdr:sp macro="" textlink="Preços!C11">
      <xdr:nvSpPr>
        <xdr:cNvPr id="90" name="CaixaDeTexto 89">
          <a:extLst>
            <a:ext uri="{FF2B5EF4-FFF2-40B4-BE49-F238E27FC236}">
              <a16:creationId xmlns:a16="http://schemas.microsoft.com/office/drawing/2014/main" id="{E693F773-874C-4197-8D99-2B5FE7D8A69F}"/>
            </a:ext>
          </a:extLst>
        </xdr:cNvPr>
        <xdr:cNvSpPr txBox="1"/>
      </xdr:nvSpPr>
      <xdr:spPr>
        <a:xfrm>
          <a:off x="12087225" y="3819524"/>
          <a:ext cx="1171576" cy="3333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5CF43E4B-73A3-401F-8471-F4EF866D33AA}" type="TxLink">
            <a:rPr lang="en-US" sz="1300" b="0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Pote grande</a:t>
          </a:fld>
          <a:endParaRPr lang="en-US" sz="1300" b="0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/>
          </a:endParaRPr>
        </a:p>
      </xdr:txBody>
    </xdr:sp>
    <xdr:clientData/>
  </xdr:oneCellAnchor>
  <xdr:oneCellAnchor>
    <xdr:from>
      <xdr:col>21</xdr:col>
      <xdr:colOff>561973</xdr:colOff>
      <xdr:row>20</xdr:row>
      <xdr:rowOff>28574</xdr:rowOff>
    </xdr:from>
    <xdr:ext cx="1295401" cy="371475"/>
    <xdr:sp macro="" textlink="Preços!E11">
      <xdr:nvSpPr>
        <xdr:cNvPr id="97" name="CaixaDeTexto 96">
          <a:extLst>
            <a:ext uri="{FF2B5EF4-FFF2-40B4-BE49-F238E27FC236}">
              <a16:creationId xmlns:a16="http://schemas.microsoft.com/office/drawing/2014/main" id="{ABEE75A3-8442-4366-ACBA-0B2A014929A5}"/>
            </a:ext>
          </a:extLst>
        </xdr:cNvPr>
        <xdr:cNvSpPr txBox="1"/>
      </xdr:nvSpPr>
      <xdr:spPr>
        <a:xfrm>
          <a:off x="13363573" y="3838574"/>
          <a:ext cx="1295401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164C7B43-3BF9-4F2C-83F4-5B7D8FA986FE}" type="TxLink">
            <a:rPr lang="en-US" sz="1300" b="1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 R$ 47,57 </a:t>
          </a:fld>
          <a:endParaRPr lang="en-US" sz="1300" b="1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/>
          </a:endParaRPr>
        </a:p>
      </xdr:txBody>
    </xdr:sp>
    <xdr:clientData/>
  </xdr:oneCellAnchor>
  <xdr:oneCellAnchor>
    <xdr:from>
      <xdr:col>14</xdr:col>
      <xdr:colOff>457200</xdr:colOff>
      <xdr:row>6</xdr:row>
      <xdr:rowOff>142874</xdr:rowOff>
    </xdr:from>
    <xdr:ext cx="1762125" cy="504825"/>
    <xdr:sp macro="" textlink="Preços!D1">
      <xdr:nvSpPr>
        <xdr:cNvPr id="101" name="CaixaDeTexto 100">
          <a:extLst>
            <a:ext uri="{FF2B5EF4-FFF2-40B4-BE49-F238E27FC236}">
              <a16:creationId xmlns:a16="http://schemas.microsoft.com/office/drawing/2014/main" id="{6BCBC02E-47BA-4BBD-BE5C-520A9B3387B3}"/>
            </a:ext>
          </a:extLst>
        </xdr:cNvPr>
        <xdr:cNvSpPr txBox="1"/>
      </xdr:nvSpPr>
      <xdr:spPr>
        <a:xfrm>
          <a:off x="8991600" y="1285874"/>
          <a:ext cx="1762125" cy="504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5090E41D-0234-4330-A8A9-3701334954E5}" type="TxLink">
            <a:rPr lang="en-US" sz="11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l"/>
            <a:t> </a:t>
          </a:fld>
          <a:endParaRPr lang="en-US" sz="1100" b="0" i="0" u="none" strike="noStrike">
            <a:solidFill>
              <a:schemeClr val="bg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19</xdr:col>
      <xdr:colOff>514349</xdr:colOff>
      <xdr:row>6</xdr:row>
      <xdr:rowOff>114299</xdr:rowOff>
    </xdr:from>
    <xdr:ext cx="2428875" cy="619125"/>
    <xdr:sp macro="" textlink="Preços!C1">
      <xdr:nvSpPr>
        <xdr:cNvPr id="62" name="CaixaDeTexto 61">
          <a:extLst>
            <a:ext uri="{FF2B5EF4-FFF2-40B4-BE49-F238E27FC236}">
              <a16:creationId xmlns:a16="http://schemas.microsoft.com/office/drawing/2014/main" id="{0CDF5E5F-DE0A-49A7-9D4E-1E99C344361E}"/>
            </a:ext>
          </a:extLst>
        </xdr:cNvPr>
        <xdr:cNvSpPr txBox="1"/>
      </xdr:nvSpPr>
      <xdr:spPr>
        <a:xfrm>
          <a:off x="12096749" y="1257299"/>
          <a:ext cx="2428875" cy="619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07B03219-EE55-4D47-B62F-1E17978A109F}" type="TxLink">
            <a:rPr lang="en-US" sz="1500" b="0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rPr>
            <a:pPr marL="0" indent="0" algn="l"/>
            <a:t>Nome alterável em preços</a:t>
          </a:fld>
          <a:endParaRPr lang="en-US" sz="1500" b="0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twoCellAnchor>
    <xdr:from>
      <xdr:col>0</xdr:col>
      <xdr:colOff>114300</xdr:colOff>
      <xdr:row>0</xdr:row>
      <xdr:rowOff>47625</xdr:rowOff>
    </xdr:from>
    <xdr:to>
      <xdr:col>2</xdr:col>
      <xdr:colOff>441302</xdr:colOff>
      <xdr:row>25</xdr:row>
      <xdr:rowOff>189096</xdr:rowOff>
    </xdr:to>
    <xdr:sp macro="" textlink="">
      <xdr:nvSpPr>
        <xdr:cNvPr id="68" name="Retângulo: Cantos Arredondados 67">
          <a:extLst>
            <a:ext uri="{FF2B5EF4-FFF2-40B4-BE49-F238E27FC236}">
              <a16:creationId xmlns:a16="http://schemas.microsoft.com/office/drawing/2014/main" id="{A9A60BFD-6DE1-496E-9C53-C3EF569A9B82}"/>
            </a:ext>
          </a:extLst>
        </xdr:cNvPr>
        <xdr:cNvSpPr/>
      </xdr:nvSpPr>
      <xdr:spPr>
        <a:xfrm>
          <a:off x="114300" y="47625"/>
          <a:ext cx="1546202" cy="4903971"/>
        </a:xfrm>
        <a:prstGeom prst="roundRect">
          <a:avLst/>
        </a:prstGeom>
        <a:gradFill flip="none" rotWithShape="1">
          <a:gsLst>
            <a:gs pos="100000">
              <a:srgbClr val="D5CEB9"/>
            </a:gs>
            <a:gs pos="0">
              <a:srgbClr val="B5A78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endParaRPr lang="pt-B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123827</xdr:colOff>
      <xdr:row>0</xdr:row>
      <xdr:rowOff>133352</xdr:rowOff>
    </xdr:from>
    <xdr:to>
      <xdr:col>2</xdr:col>
      <xdr:colOff>438151</xdr:colOff>
      <xdr:row>8</xdr:row>
      <xdr:rowOff>142876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4CF3DA9A-D7C7-4604-9D02-34CE59332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7" y="133352"/>
          <a:ext cx="1533524" cy="1533524"/>
        </a:xfrm>
        <a:prstGeom prst="rect">
          <a:avLst/>
        </a:prstGeom>
      </xdr:spPr>
    </xdr:pic>
    <xdr:clientData/>
  </xdr:twoCellAnchor>
  <xdr:twoCellAnchor>
    <xdr:from>
      <xdr:col>2</xdr:col>
      <xdr:colOff>514350</xdr:colOff>
      <xdr:row>6</xdr:row>
      <xdr:rowOff>76200</xdr:rowOff>
    </xdr:from>
    <xdr:to>
      <xdr:col>10</xdr:col>
      <xdr:colOff>478972</xdr:colOff>
      <xdr:row>22</xdr:row>
      <xdr:rowOff>13753</xdr:rowOff>
    </xdr:to>
    <xdr:sp macro="" textlink="">
      <xdr:nvSpPr>
        <xdr:cNvPr id="73" name="Retângulo 72">
          <a:extLst>
            <a:ext uri="{FF2B5EF4-FFF2-40B4-BE49-F238E27FC236}">
              <a16:creationId xmlns:a16="http://schemas.microsoft.com/office/drawing/2014/main" id="{23347892-8D7C-4EBC-9A68-57F199DADAA6}"/>
            </a:ext>
          </a:extLst>
        </xdr:cNvPr>
        <xdr:cNvSpPr/>
      </xdr:nvSpPr>
      <xdr:spPr>
        <a:xfrm>
          <a:off x="1733550" y="1219200"/>
          <a:ext cx="4841422" cy="2985553"/>
        </a:xfrm>
        <a:prstGeom prst="rect">
          <a:avLst/>
        </a:prstGeom>
        <a:gradFill flip="none" rotWithShape="1">
          <a:gsLst>
            <a:gs pos="100000">
              <a:srgbClr val="D5CEB9"/>
            </a:gs>
            <a:gs pos="0">
              <a:srgbClr val="B5A78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endParaRPr lang="pt-B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180974</xdr:colOff>
      <xdr:row>16</xdr:row>
      <xdr:rowOff>123825</xdr:rowOff>
    </xdr:from>
    <xdr:to>
      <xdr:col>2</xdr:col>
      <xdr:colOff>380999</xdr:colOff>
      <xdr:row>22</xdr:row>
      <xdr:rowOff>161925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Vela">
              <a:extLst>
                <a:ext uri="{FF2B5EF4-FFF2-40B4-BE49-F238E27FC236}">
                  <a16:creationId xmlns:a16="http://schemas.microsoft.com/office/drawing/2014/main" id="{CEF84D33-39F3-4892-A62E-A358E65D6FD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Vel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0974" y="3171825"/>
              <a:ext cx="1427692" cy="1181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>
    <xdr:from>
      <xdr:col>2</xdr:col>
      <xdr:colOff>514350</xdr:colOff>
      <xdr:row>22</xdr:row>
      <xdr:rowOff>114300</xdr:rowOff>
    </xdr:from>
    <xdr:to>
      <xdr:col>10</xdr:col>
      <xdr:colOff>478972</xdr:colOff>
      <xdr:row>38</xdr:row>
      <xdr:rowOff>51853</xdr:rowOff>
    </xdr:to>
    <xdr:sp macro="" textlink="">
      <xdr:nvSpPr>
        <xdr:cNvPr id="74" name="Retângulo 73">
          <a:extLst>
            <a:ext uri="{FF2B5EF4-FFF2-40B4-BE49-F238E27FC236}">
              <a16:creationId xmlns:a16="http://schemas.microsoft.com/office/drawing/2014/main" id="{AC2950D5-BD44-45F0-B2E6-D04EE642EF6C}"/>
            </a:ext>
          </a:extLst>
        </xdr:cNvPr>
        <xdr:cNvSpPr/>
      </xdr:nvSpPr>
      <xdr:spPr>
        <a:xfrm>
          <a:off x="1733550" y="4305300"/>
          <a:ext cx="4841422" cy="2985553"/>
        </a:xfrm>
        <a:prstGeom prst="rect">
          <a:avLst/>
        </a:prstGeom>
        <a:gradFill flip="none" rotWithShape="1">
          <a:gsLst>
            <a:gs pos="100000">
              <a:srgbClr val="D5CEB9"/>
            </a:gs>
            <a:gs pos="0">
              <a:srgbClr val="B5A78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endParaRPr lang="pt-B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438150</xdr:colOff>
      <xdr:row>22</xdr:row>
      <xdr:rowOff>114300</xdr:rowOff>
    </xdr:from>
    <xdr:to>
      <xdr:col>10</xdr:col>
      <xdr:colOff>466724</xdr:colOff>
      <xdr:row>36</xdr:row>
      <xdr:rowOff>19050</xdr:rowOff>
    </xdr:to>
    <xdr:graphicFrame macro="">
      <xdr:nvGraphicFramePr>
        <xdr:cNvPr id="77" name="Gráfico 76">
          <a:extLst>
            <a:ext uri="{FF2B5EF4-FFF2-40B4-BE49-F238E27FC236}">
              <a16:creationId xmlns:a16="http://schemas.microsoft.com/office/drawing/2014/main" id="{19019186-DDB4-458C-B1B3-5F9D4BC59E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567266</xdr:colOff>
      <xdr:row>30</xdr:row>
      <xdr:rowOff>59267</xdr:rowOff>
    </xdr:from>
    <xdr:to>
      <xdr:col>5</xdr:col>
      <xdr:colOff>271992</xdr:colOff>
      <xdr:row>38</xdr:row>
      <xdr:rowOff>2117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0" name="Vela 1">
              <a:extLst>
                <a:ext uri="{FF2B5EF4-FFF2-40B4-BE49-F238E27FC236}">
                  <a16:creationId xmlns:a16="http://schemas.microsoft.com/office/drawing/2014/main" id="{3E1BFD82-B2C3-40E2-92AB-1C1B281079E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Vel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94933" y="5774267"/>
              <a:ext cx="1546226" cy="14668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24</xdr:col>
      <xdr:colOff>47625</xdr:colOff>
      <xdr:row>8</xdr:row>
      <xdr:rowOff>142875</xdr:rowOff>
    </xdr:from>
    <xdr:to>
      <xdr:col>25</xdr:col>
      <xdr:colOff>352425</xdr:colOff>
      <xdr:row>13</xdr:row>
      <xdr:rowOff>104775</xdr:rowOff>
    </xdr:to>
    <xdr:pic>
      <xdr:nvPicPr>
        <xdr:cNvPr id="99" name="Gráfico 98" descr="Rótulo">
          <a:extLst>
            <a:ext uri="{FF2B5EF4-FFF2-40B4-BE49-F238E27FC236}">
              <a16:creationId xmlns:a16="http://schemas.microsoft.com/office/drawing/2014/main" id="{8EC4249A-0F68-4219-951F-C71EC9F94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4678025" y="1666875"/>
          <a:ext cx="914400" cy="914400"/>
        </a:xfrm>
        <a:prstGeom prst="rect">
          <a:avLst/>
        </a:prstGeom>
      </xdr:spPr>
    </xdr:pic>
    <xdr:clientData/>
  </xdr:twoCellAnchor>
  <xdr:twoCellAnchor>
    <xdr:from>
      <xdr:col>10</xdr:col>
      <xdr:colOff>523875</xdr:colOff>
      <xdr:row>6</xdr:row>
      <xdr:rowOff>76200</xdr:rowOff>
    </xdr:from>
    <xdr:to>
      <xdr:col>19</xdr:col>
      <xdr:colOff>95250</xdr:colOff>
      <xdr:row>22</xdr:row>
      <xdr:rowOff>13753</xdr:rowOff>
    </xdr:to>
    <xdr:sp macro="" textlink="">
      <xdr:nvSpPr>
        <xdr:cNvPr id="100" name="Retângulo 99">
          <a:extLst>
            <a:ext uri="{FF2B5EF4-FFF2-40B4-BE49-F238E27FC236}">
              <a16:creationId xmlns:a16="http://schemas.microsoft.com/office/drawing/2014/main" id="{858C9E41-AF1C-4657-BBA5-892237385639}"/>
            </a:ext>
          </a:extLst>
        </xdr:cNvPr>
        <xdr:cNvSpPr/>
      </xdr:nvSpPr>
      <xdr:spPr>
        <a:xfrm>
          <a:off x="6662208" y="1219200"/>
          <a:ext cx="5095875" cy="2985553"/>
        </a:xfrm>
        <a:prstGeom prst="rect">
          <a:avLst/>
        </a:prstGeom>
        <a:gradFill flip="none" rotWithShape="1">
          <a:gsLst>
            <a:gs pos="100000">
              <a:srgbClr val="D5CEB9"/>
            </a:gs>
            <a:gs pos="0">
              <a:srgbClr val="B5A78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endParaRPr lang="pt-B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9</xdr:col>
      <xdr:colOff>142875</xdr:colOff>
      <xdr:row>16</xdr:row>
      <xdr:rowOff>17601</xdr:rowOff>
    </xdr:from>
    <xdr:to>
      <xdr:col>12</xdr:col>
      <xdr:colOff>171450</xdr:colOff>
      <xdr:row>22</xdr:row>
      <xdr:rowOff>114301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0B64C84F-6DD2-48D4-BAB4-76616763C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667375" y="3065601"/>
          <a:ext cx="1870075" cy="1239700"/>
        </a:xfrm>
        <a:prstGeom prst="rect">
          <a:avLst/>
        </a:prstGeom>
      </xdr:spPr>
    </xdr:pic>
    <xdr:clientData/>
  </xdr:twoCellAnchor>
  <xdr:twoCellAnchor>
    <xdr:from>
      <xdr:col>10</xdr:col>
      <xdr:colOff>523875</xdr:colOff>
      <xdr:row>6</xdr:row>
      <xdr:rowOff>76200</xdr:rowOff>
    </xdr:from>
    <xdr:to>
      <xdr:col>18</xdr:col>
      <xdr:colOff>219075</xdr:colOff>
      <xdr:row>20</xdr:row>
      <xdr:rowOff>152400</xdr:rowOff>
    </xdr:to>
    <xdr:graphicFrame macro="">
      <xdr:nvGraphicFramePr>
        <xdr:cNvPr id="103" name="Gráfico 102">
          <a:extLst>
            <a:ext uri="{FF2B5EF4-FFF2-40B4-BE49-F238E27FC236}">
              <a16:creationId xmlns:a16="http://schemas.microsoft.com/office/drawing/2014/main" id="{C3D84662-39F9-43DD-9E00-C9CD59537D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542925</xdr:colOff>
      <xdr:row>6</xdr:row>
      <xdr:rowOff>9524</xdr:rowOff>
    </xdr:from>
    <xdr:to>
      <xdr:col>10</xdr:col>
      <xdr:colOff>295275</xdr:colOff>
      <xdr:row>21</xdr:row>
      <xdr:rowOff>0</xdr:rowOff>
    </xdr:to>
    <xdr:graphicFrame macro="">
      <xdr:nvGraphicFramePr>
        <xdr:cNvPr id="104" name="Gráfico 103">
          <a:extLst>
            <a:ext uri="{FF2B5EF4-FFF2-40B4-BE49-F238E27FC236}">
              <a16:creationId xmlns:a16="http://schemas.microsoft.com/office/drawing/2014/main" id="{A148D472-DE74-4972-9E11-149925E06E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533399</xdr:colOff>
      <xdr:row>22</xdr:row>
      <xdr:rowOff>114300</xdr:rowOff>
    </xdr:from>
    <xdr:to>
      <xdr:col>19</xdr:col>
      <xdr:colOff>333374</xdr:colOff>
      <xdr:row>38</xdr:row>
      <xdr:rowOff>51853</xdr:rowOff>
    </xdr:to>
    <xdr:sp macro="" textlink="">
      <xdr:nvSpPr>
        <xdr:cNvPr id="105" name="Retângulo 104">
          <a:extLst>
            <a:ext uri="{FF2B5EF4-FFF2-40B4-BE49-F238E27FC236}">
              <a16:creationId xmlns:a16="http://schemas.microsoft.com/office/drawing/2014/main" id="{649A2EA1-31EC-414B-A735-7277D2E04694}"/>
            </a:ext>
          </a:extLst>
        </xdr:cNvPr>
        <xdr:cNvSpPr/>
      </xdr:nvSpPr>
      <xdr:spPr>
        <a:xfrm>
          <a:off x="6629399" y="4305300"/>
          <a:ext cx="5286375" cy="2985553"/>
        </a:xfrm>
        <a:prstGeom prst="rect">
          <a:avLst/>
        </a:prstGeom>
        <a:gradFill flip="none" rotWithShape="1">
          <a:gsLst>
            <a:gs pos="100000">
              <a:srgbClr val="D5CEB9"/>
            </a:gs>
            <a:gs pos="0">
              <a:srgbClr val="B5A781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endParaRPr lang="pt-B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533400</xdr:colOff>
      <xdr:row>22</xdr:row>
      <xdr:rowOff>114300</xdr:rowOff>
    </xdr:from>
    <xdr:to>
      <xdr:col>18</xdr:col>
      <xdr:colOff>552450</xdr:colOff>
      <xdr:row>37</xdr:row>
      <xdr:rowOff>0</xdr:rowOff>
    </xdr:to>
    <xdr:graphicFrame macro="">
      <xdr:nvGraphicFramePr>
        <xdr:cNvPr id="106" name="Gráfico 105">
          <a:extLst>
            <a:ext uri="{FF2B5EF4-FFF2-40B4-BE49-F238E27FC236}">
              <a16:creationId xmlns:a16="http://schemas.microsoft.com/office/drawing/2014/main" id="{3F1591EB-D1CC-4AA2-A437-F082160A87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2</xdr:col>
      <xdr:colOff>312825</xdr:colOff>
      <xdr:row>1</xdr:row>
      <xdr:rowOff>59267</xdr:rowOff>
    </xdr:from>
    <xdr:to>
      <xdr:col>4</xdr:col>
      <xdr:colOff>226485</xdr:colOff>
      <xdr:row>7</xdr:row>
      <xdr:rowOff>51858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2CEAE9C6-6D14-4A91-9965-F5E135B48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32025" y="249767"/>
          <a:ext cx="1132860" cy="1135591"/>
        </a:xfrm>
        <a:prstGeom prst="rect">
          <a:avLst/>
        </a:prstGeom>
      </xdr:spPr>
    </xdr:pic>
    <xdr:clientData/>
  </xdr:twoCellAnchor>
  <xdr:twoCellAnchor>
    <xdr:from>
      <xdr:col>0</xdr:col>
      <xdr:colOff>457200</xdr:colOff>
      <xdr:row>12</xdr:row>
      <xdr:rowOff>142875</xdr:rowOff>
    </xdr:from>
    <xdr:to>
      <xdr:col>1</xdr:col>
      <xdr:colOff>581025</xdr:colOff>
      <xdr:row>12</xdr:row>
      <xdr:rowOff>152401</xdr:rowOff>
    </xdr:to>
    <xdr:cxnSp macro="">
      <xdr:nvCxnSpPr>
        <xdr:cNvPr id="13" name="Conector reto 12">
          <a:extLst>
            <a:ext uri="{FF2B5EF4-FFF2-40B4-BE49-F238E27FC236}">
              <a16:creationId xmlns:a16="http://schemas.microsoft.com/office/drawing/2014/main" id="{D19952F1-B302-4AAB-849B-C21EF8376747}"/>
            </a:ext>
          </a:extLst>
        </xdr:cNvPr>
        <xdr:cNvCxnSpPr/>
      </xdr:nvCxnSpPr>
      <xdr:spPr>
        <a:xfrm flipV="1">
          <a:off x="457200" y="2428875"/>
          <a:ext cx="733425" cy="9526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219076</xdr:colOff>
      <xdr:row>13</xdr:row>
      <xdr:rowOff>57150</xdr:rowOff>
    </xdr:from>
    <xdr:ext cx="1431924" cy="257176"/>
    <xdr:sp macro="" textlink="">
      <xdr:nvSpPr>
        <xdr:cNvPr id="107" name="CaixaDeTexto 106">
          <a:extLst>
            <a:ext uri="{FF2B5EF4-FFF2-40B4-BE49-F238E27FC236}">
              <a16:creationId xmlns:a16="http://schemas.microsoft.com/office/drawing/2014/main" id="{D93B9E73-2AED-4781-B932-3EC74EE0F141}"/>
            </a:ext>
          </a:extLst>
        </xdr:cNvPr>
        <xdr:cNvSpPr txBox="1"/>
      </xdr:nvSpPr>
      <xdr:spPr>
        <a:xfrm>
          <a:off x="219076" y="2533650"/>
          <a:ext cx="1431924" cy="257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r>
            <a:rPr lang="en-US" sz="1200" b="0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rPr>
            <a:t>Spacegestaoai.com</a:t>
          </a:r>
          <a:endParaRPr lang="en-US" sz="1200" b="0" i="0" u="none" strike="noStrike" baseline="0">
            <a:solidFill>
              <a:schemeClr val="bg1"/>
            </a:solidFill>
            <a:latin typeface="Abadi" panose="020B0604020104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512778</xdr:colOff>
      <xdr:row>8</xdr:row>
      <xdr:rowOff>103805</xdr:rowOff>
    </xdr:from>
    <xdr:to>
      <xdr:col>0</xdr:col>
      <xdr:colOff>589560</xdr:colOff>
      <xdr:row>8</xdr:row>
      <xdr:rowOff>165231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A2D73336-792D-4252-B24B-83C1C9FCF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12778" y="1620029"/>
          <a:ext cx="76782" cy="61426"/>
        </a:xfrm>
        <a:prstGeom prst="rect">
          <a:avLst/>
        </a:prstGeom>
      </xdr:spPr>
    </xdr:pic>
    <xdr:clientData/>
  </xdr:twoCellAnchor>
  <xdr:twoCellAnchor editAs="oneCell">
    <xdr:from>
      <xdr:col>9</xdr:col>
      <xdr:colOff>422278</xdr:colOff>
      <xdr:row>3</xdr:row>
      <xdr:rowOff>21168</xdr:rowOff>
    </xdr:from>
    <xdr:to>
      <xdr:col>10</xdr:col>
      <xdr:colOff>384176</xdr:colOff>
      <xdr:row>6</xdr:row>
      <xdr:rowOff>137403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88508C7B-6B1F-4285-9A30-7AC4D1C4B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908678" y="592668"/>
          <a:ext cx="571498" cy="687735"/>
        </a:xfrm>
        <a:prstGeom prst="rect">
          <a:avLst/>
        </a:prstGeom>
      </xdr:spPr>
    </xdr:pic>
    <xdr:clientData/>
  </xdr:twoCellAnchor>
  <xdr:twoCellAnchor editAs="oneCell">
    <xdr:from>
      <xdr:col>9</xdr:col>
      <xdr:colOff>368300</xdr:colOff>
      <xdr:row>31</xdr:row>
      <xdr:rowOff>32809</xdr:rowOff>
    </xdr:from>
    <xdr:to>
      <xdr:col>12</xdr:col>
      <xdr:colOff>137583</xdr:colOff>
      <xdr:row>39</xdr:row>
      <xdr:rowOff>119592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A1332BFF-210E-4C6F-ABCE-1A9C5A2B8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892800" y="5938309"/>
          <a:ext cx="1610783" cy="1610783"/>
        </a:xfrm>
        <a:prstGeom prst="rect">
          <a:avLst/>
        </a:prstGeom>
      </xdr:spPr>
    </xdr:pic>
    <xdr:clientData/>
  </xdr:twoCellAnchor>
  <xdr:twoCellAnchor editAs="oneCell">
    <xdr:from>
      <xdr:col>0</xdr:col>
      <xdr:colOff>137584</xdr:colOff>
      <xdr:row>7</xdr:row>
      <xdr:rowOff>31750</xdr:rowOff>
    </xdr:from>
    <xdr:to>
      <xdr:col>2</xdr:col>
      <xdr:colOff>359834</xdr:colOff>
      <xdr:row>14</xdr:row>
      <xdr:rowOff>116416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E3ECEDD-F4A3-4689-AA67-635F5F550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84" y="1365250"/>
          <a:ext cx="1449917" cy="14181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1</xdr:row>
      <xdr:rowOff>52917</xdr:rowOff>
    </xdr:from>
    <xdr:to>
      <xdr:col>3</xdr:col>
      <xdr:colOff>565149</xdr:colOff>
      <xdr:row>1</xdr:row>
      <xdr:rowOff>376767</xdr:rowOff>
    </xdr:to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82BFA134-B609-4EA5-BE45-316F921F102C}"/>
            </a:ext>
          </a:extLst>
        </xdr:cNvPr>
        <xdr:cNvSpPr/>
      </xdr:nvSpPr>
      <xdr:spPr>
        <a:xfrm>
          <a:off x="624416" y="243417"/>
          <a:ext cx="1782233" cy="323850"/>
        </a:xfrm>
        <a:prstGeom prst="round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latin typeface="Abadi" panose="020B0604020104020204" pitchFamily="34" charset="0"/>
            </a:rPr>
            <a:t>Pendentes</a:t>
          </a:r>
        </a:p>
      </xdr:txBody>
    </xdr:sp>
    <xdr:clientData/>
  </xdr:twoCellAnchor>
  <xdr:twoCellAnchor>
    <xdr:from>
      <xdr:col>4</xdr:col>
      <xdr:colOff>118533</xdr:colOff>
      <xdr:row>1</xdr:row>
      <xdr:rowOff>52917</xdr:rowOff>
    </xdr:from>
    <xdr:to>
      <xdr:col>7</xdr:col>
      <xdr:colOff>55033</xdr:colOff>
      <xdr:row>1</xdr:row>
      <xdr:rowOff>376767</xdr:rowOff>
    </xdr:to>
    <xdr:sp macro="" textlink="">
      <xdr:nvSpPr>
        <xdr:cNvPr id="3" name="Retângulo: Cantos Arredondados 2">
          <a:extLst>
            <a:ext uri="{FF2B5EF4-FFF2-40B4-BE49-F238E27FC236}">
              <a16:creationId xmlns:a16="http://schemas.microsoft.com/office/drawing/2014/main" id="{17EC81DD-1BC2-4100-87ED-B7ED63B5DCFA}"/>
            </a:ext>
          </a:extLst>
        </xdr:cNvPr>
        <xdr:cNvSpPr/>
      </xdr:nvSpPr>
      <xdr:spPr>
        <a:xfrm>
          <a:off x="2573866" y="243417"/>
          <a:ext cx="1778000" cy="323850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latin typeface="Abadi" panose="020B0604020104020204" pitchFamily="34" charset="0"/>
            </a:rPr>
            <a:t>Fazendo</a:t>
          </a:r>
        </a:p>
      </xdr:txBody>
    </xdr:sp>
    <xdr:clientData/>
  </xdr:twoCellAnchor>
  <xdr:twoCellAnchor>
    <xdr:from>
      <xdr:col>7</xdr:col>
      <xdr:colOff>226483</xdr:colOff>
      <xdr:row>1</xdr:row>
      <xdr:rowOff>62442</xdr:rowOff>
    </xdr:from>
    <xdr:to>
      <xdr:col>10</xdr:col>
      <xdr:colOff>162983</xdr:colOff>
      <xdr:row>1</xdr:row>
      <xdr:rowOff>386292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EF0465C9-7916-4571-B260-8121C80F1DD2}"/>
            </a:ext>
          </a:extLst>
        </xdr:cNvPr>
        <xdr:cNvSpPr/>
      </xdr:nvSpPr>
      <xdr:spPr>
        <a:xfrm>
          <a:off x="4523316" y="252942"/>
          <a:ext cx="1778000" cy="323850"/>
        </a:xfrm>
        <a:prstGeom prst="roundRect">
          <a:avLst/>
        </a:prstGeom>
        <a:solidFill>
          <a:srgbClr val="A95F8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latin typeface="Abadi" panose="020B0604020104020204" pitchFamily="34" charset="0"/>
            </a:rPr>
            <a:t>Pendências</a:t>
          </a:r>
        </a:p>
      </xdr:txBody>
    </xdr:sp>
    <xdr:clientData/>
  </xdr:twoCellAnchor>
  <xdr:twoCellAnchor>
    <xdr:from>
      <xdr:col>10</xdr:col>
      <xdr:colOff>315383</xdr:colOff>
      <xdr:row>1</xdr:row>
      <xdr:rowOff>62442</xdr:rowOff>
    </xdr:from>
    <xdr:to>
      <xdr:col>13</xdr:col>
      <xdr:colOff>251883</xdr:colOff>
      <xdr:row>1</xdr:row>
      <xdr:rowOff>386292</xdr:rowOff>
    </xdr:to>
    <xdr:sp macro="" textlink="">
      <xdr:nvSpPr>
        <xdr:cNvPr id="5" name="Retângulo: Cantos Arredondados 4">
          <a:extLst>
            <a:ext uri="{FF2B5EF4-FFF2-40B4-BE49-F238E27FC236}">
              <a16:creationId xmlns:a16="http://schemas.microsoft.com/office/drawing/2014/main" id="{9B6D2A7C-C9B1-4E20-ADD2-56246F6F1FFD}"/>
            </a:ext>
          </a:extLst>
        </xdr:cNvPr>
        <xdr:cNvSpPr/>
      </xdr:nvSpPr>
      <xdr:spPr>
        <a:xfrm>
          <a:off x="6453716" y="252942"/>
          <a:ext cx="1778000" cy="32385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latin typeface="Abadi" panose="020B0604020104020204" pitchFamily="34" charset="0"/>
            </a:rPr>
            <a:t>Finalizado</a:t>
          </a:r>
        </a:p>
        <a:p>
          <a:pPr algn="l"/>
          <a:endParaRPr lang="pt-BR" sz="1100" b="1">
            <a:latin typeface="Abadi" panose="020B0604020104020204" pitchFamily="34" charset="0"/>
          </a:endParaRPr>
        </a:p>
      </xdr:txBody>
    </xdr:sp>
    <xdr:clientData/>
  </xdr:twoCellAnchor>
  <xdr:twoCellAnchor>
    <xdr:from>
      <xdr:col>1</xdr:col>
      <xdr:colOff>10583</xdr:colOff>
      <xdr:row>1</xdr:row>
      <xdr:rowOff>329142</xdr:rowOff>
    </xdr:from>
    <xdr:to>
      <xdr:col>3</xdr:col>
      <xdr:colOff>565149</xdr:colOff>
      <xdr:row>7</xdr:row>
      <xdr:rowOff>52917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5A8D996A-BF8A-462D-A17D-22FB470958B2}"/>
            </a:ext>
          </a:extLst>
        </xdr:cNvPr>
        <xdr:cNvSpPr/>
      </xdr:nvSpPr>
      <xdr:spPr>
        <a:xfrm>
          <a:off x="624416" y="519642"/>
          <a:ext cx="1782233" cy="23272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120121</xdr:colOff>
      <xdr:row>1</xdr:row>
      <xdr:rowOff>329142</xdr:rowOff>
    </xdr:from>
    <xdr:to>
      <xdr:col>7</xdr:col>
      <xdr:colOff>56621</xdr:colOff>
      <xdr:row>7</xdr:row>
      <xdr:rowOff>52917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D0D5B231-FF2E-4A5B-A4B9-D7523002C3C4}"/>
            </a:ext>
          </a:extLst>
        </xdr:cNvPr>
        <xdr:cNvSpPr/>
      </xdr:nvSpPr>
      <xdr:spPr>
        <a:xfrm>
          <a:off x="2575454" y="519642"/>
          <a:ext cx="1778000" cy="23272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228071</xdr:colOff>
      <xdr:row>1</xdr:row>
      <xdr:rowOff>338667</xdr:rowOff>
    </xdr:from>
    <xdr:to>
      <xdr:col>10</xdr:col>
      <xdr:colOff>164571</xdr:colOff>
      <xdr:row>7</xdr:row>
      <xdr:rowOff>62442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8E1296E2-4772-4105-8946-B0F4058700F1}"/>
            </a:ext>
          </a:extLst>
        </xdr:cNvPr>
        <xdr:cNvSpPr/>
      </xdr:nvSpPr>
      <xdr:spPr>
        <a:xfrm>
          <a:off x="4524904" y="529167"/>
          <a:ext cx="1778000" cy="23272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10</xdr:col>
      <xdr:colOff>316971</xdr:colOff>
      <xdr:row>1</xdr:row>
      <xdr:rowOff>338667</xdr:rowOff>
    </xdr:from>
    <xdr:to>
      <xdr:col>13</xdr:col>
      <xdr:colOff>253471</xdr:colOff>
      <xdr:row>7</xdr:row>
      <xdr:rowOff>62442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1713A90E-B9CC-47CB-873C-2C4B3018CE83}"/>
            </a:ext>
          </a:extLst>
        </xdr:cNvPr>
        <xdr:cNvSpPr/>
      </xdr:nvSpPr>
      <xdr:spPr>
        <a:xfrm>
          <a:off x="6455304" y="529167"/>
          <a:ext cx="1778000" cy="23272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153458</xdr:colOff>
      <xdr:row>1</xdr:row>
      <xdr:rowOff>433917</xdr:rowOff>
    </xdr:from>
    <xdr:to>
      <xdr:col>3</xdr:col>
      <xdr:colOff>384174</xdr:colOff>
      <xdr:row>3</xdr:row>
      <xdr:rowOff>77259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F151270D-6583-464D-B2B1-284B8DED3423}"/>
            </a:ext>
          </a:extLst>
        </xdr:cNvPr>
        <xdr:cNvSpPr/>
      </xdr:nvSpPr>
      <xdr:spPr>
        <a:xfrm>
          <a:off x="767291" y="624417"/>
          <a:ext cx="1458383" cy="669925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0" i="0">
              <a:solidFill>
                <a:schemeClr val="tx1"/>
              </a:solidFill>
              <a:effectLst/>
              <a:latin typeface="Abadi" panose="020B0604020104020204" pitchFamily="34" charset="0"/>
              <a:ea typeface="+mn-ea"/>
              <a:cs typeface="+mn-cs"/>
            </a:rPr>
            <a:t>Lorem ipsum dolor sit amet, consectetur adipiscing elit</a:t>
          </a:r>
          <a:endParaRPr lang="pt-BR" sz="1100" b="0">
            <a:solidFill>
              <a:schemeClr val="tx1"/>
            </a:solidFill>
            <a:latin typeface="Abadi" panose="020B0604020104020204" pitchFamily="34" charset="0"/>
          </a:endParaRPr>
        </a:p>
      </xdr:txBody>
    </xdr:sp>
    <xdr:clientData/>
  </xdr:twoCellAnchor>
  <xdr:twoCellAnchor>
    <xdr:from>
      <xdr:col>1</xdr:col>
      <xdr:colOff>153458</xdr:colOff>
      <xdr:row>3</xdr:row>
      <xdr:rowOff>223309</xdr:rowOff>
    </xdr:from>
    <xdr:to>
      <xdr:col>3</xdr:col>
      <xdr:colOff>384174</xdr:colOff>
      <xdr:row>5</xdr:row>
      <xdr:rowOff>98425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4585F65C-1F6D-4909-9784-C711EB49569F}"/>
            </a:ext>
          </a:extLst>
        </xdr:cNvPr>
        <xdr:cNvSpPr/>
      </xdr:nvSpPr>
      <xdr:spPr>
        <a:xfrm>
          <a:off x="767291" y="1440392"/>
          <a:ext cx="1458383" cy="67945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0" i="0">
              <a:solidFill>
                <a:schemeClr val="tx1"/>
              </a:solidFill>
              <a:effectLst/>
              <a:latin typeface="Abadi" panose="020B0604020104020204" pitchFamily="34" charset="0"/>
              <a:ea typeface="+mn-ea"/>
              <a:cs typeface="+mn-cs"/>
            </a:rPr>
            <a:t>Lorem ipsum dolor sit amet, consectetur adipiscing elit</a:t>
          </a:r>
          <a:endParaRPr lang="pt-BR" sz="1100">
            <a:solidFill>
              <a:schemeClr val="tx1"/>
            </a:solidFill>
            <a:latin typeface="Abadi" panose="020B0604020104020204" pitchFamily="34" charset="0"/>
          </a:endParaRPr>
        </a:p>
      </xdr:txBody>
    </xdr:sp>
    <xdr:clientData/>
  </xdr:twoCellAnchor>
  <xdr:twoCellAnchor>
    <xdr:from>
      <xdr:col>4</xdr:col>
      <xdr:colOff>242358</xdr:colOff>
      <xdr:row>1</xdr:row>
      <xdr:rowOff>433917</xdr:rowOff>
    </xdr:from>
    <xdr:to>
      <xdr:col>6</xdr:col>
      <xdr:colOff>473074</xdr:colOff>
      <xdr:row>3</xdr:row>
      <xdr:rowOff>77259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F36B8948-5606-460B-A492-ABF7C7D17284}"/>
            </a:ext>
          </a:extLst>
        </xdr:cNvPr>
        <xdr:cNvSpPr/>
      </xdr:nvSpPr>
      <xdr:spPr>
        <a:xfrm>
          <a:off x="2697691" y="624417"/>
          <a:ext cx="1458383" cy="669925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0" i="0">
              <a:solidFill>
                <a:schemeClr val="tx1"/>
              </a:solidFill>
              <a:effectLst/>
              <a:latin typeface="Abadi" panose="020B0604020104020204" pitchFamily="34" charset="0"/>
              <a:ea typeface="+mn-ea"/>
              <a:cs typeface="+mn-cs"/>
            </a:rPr>
            <a:t>Lorem ipsum dolor sit amet, consectetur adipiscing elit</a:t>
          </a:r>
          <a:endParaRPr lang="pt-BR" sz="1100">
            <a:solidFill>
              <a:schemeClr val="tx1"/>
            </a:solidFill>
            <a:latin typeface="Abadi" panose="020B0604020104020204" pitchFamily="34" charset="0"/>
          </a:endParaRPr>
        </a:p>
      </xdr:txBody>
    </xdr:sp>
    <xdr:clientData/>
  </xdr:twoCellAnchor>
  <xdr:twoCellAnchor>
    <xdr:from>
      <xdr:col>10</xdr:col>
      <xdr:colOff>477308</xdr:colOff>
      <xdr:row>1</xdr:row>
      <xdr:rowOff>424392</xdr:rowOff>
    </xdr:from>
    <xdr:to>
      <xdr:col>13</xdr:col>
      <xdr:colOff>89958</xdr:colOff>
      <xdr:row>3</xdr:row>
      <xdr:rowOff>67734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0E9CA771-8F02-4FBF-92F7-266AC82E06F5}"/>
            </a:ext>
          </a:extLst>
        </xdr:cNvPr>
        <xdr:cNvSpPr/>
      </xdr:nvSpPr>
      <xdr:spPr>
        <a:xfrm>
          <a:off x="6615641" y="614892"/>
          <a:ext cx="1454150" cy="669925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0" i="0">
              <a:solidFill>
                <a:schemeClr val="tx1"/>
              </a:solidFill>
              <a:effectLst/>
              <a:latin typeface="Abadi" panose="020B0604020104020204" pitchFamily="34" charset="0"/>
              <a:ea typeface="+mn-ea"/>
              <a:cs typeface="+mn-cs"/>
            </a:rPr>
            <a:t>Lorem ipsum dolor sit amet, consectetur adipiscing elit</a:t>
          </a:r>
          <a:endParaRPr lang="pt-BR" sz="1100">
            <a:solidFill>
              <a:schemeClr val="tx1"/>
            </a:solidFill>
            <a:latin typeface="Abadi" panose="020B0604020104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28576</xdr:colOff>
      <xdr:row>0</xdr:row>
      <xdr:rowOff>0</xdr:rowOff>
    </xdr:from>
    <xdr:to>
      <xdr:col>5</xdr:col>
      <xdr:colOff>532410</xdr:colOff>
      <xdr:row>5</xdr:row>
      <xdr:rowOff>133350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928E6B4-896B-4D26-98BA-AEADD5B97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2176" y="0"/>
          <a:ext cx="1113434" cy="10858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lonetwork-my.sharepoint.com/Users/Joao/Desktop/Solo%20Network/Kanban-Compra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ao/Documents/Solo%20Network/Kanban-Compr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shboard"/>
      <sheetName val="Geral"/>
      <sheetName val="Planilha1"/>
      <sheetName val="Planilha2"/>
      <sheetName val="Facilities"/>
      <sheetName val="Recebimentos"/>
      <sheetName val="Luzes"/>
      <sheetName val="Calendário"/>
    </sheetNames>
    <sheetDataSet>
      <sheetData sheetId="0" refreshError="1"/>
      <sheetData sheetId="1">
        <row r="99">
          <cell r="C99" t="str">
            <v>Cotação</v>
          </cell>
          <cell r="G99" t="str">
            <v>Alta</v>
          </cell>
        </row>
        <row r="100">
          <cell r="C100" t="str">
            <v>Finalizado</v>
          </cell>
          <cell r="G100" t="str">
            <v>Médio</v>
          </cell>
        </row>
        <row r="101">
          <cell r="C101" t="str">
            <v>Aguardando preço</v>
          </cell>
          <cell r="G101" t="str">
            <v>Baixa</v>
          </cell>
        </row>
        <row r="102">
          <cell r="C102" t="str">
            <v>Pendente</v>
          </cell>
        </row>
        <row r="103">
          <cell r="C103" t="str">
            <v>Cotação - OK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ral"/>
    </sheetNames>
    <sheetDataSet>
      <sheetData sheetId="0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ao" refreshedDate="46083.001052893516" createdVersion="6" refreshedVersion="6" minRefreshableVersion="3" recordCount="6" xr:uid="{011C19E4-FF97-4394-AD50-598F77C726B5}">
  <cacheSource type="worksheet">
    <worksheetSource name="Tabela1"/>
  </cacheSource>
  <cacheFields count="9">
    <cacheField name="Status" numFmtId="0">
      <sharedItems/>
    </cacheField>
    <cacheField name="Produto" numFmtId="0">
      <sharedItems count="6">
        <s v="Parafinas"/>
        <s v="Essências"/>
        <s v="Etiquetas"/>
        <s v="Panelas"/>
        <s v="Pavios"/>
        <s v="Fogão portátil"/>
      </sharedItems>
    </cacheField>
    <cacheField name="Data" numFmtId="14">
      <sharedItems containsSemiMixedTypes="0" containsNonDate="0" containsDate="1" containsString="0" minDate="2026-02-01T00:00:00" maxDate="2026-02-02T00:00:00"/>
    </cacheField>
    <cacheField name="Mês" numFmtId="17">
      <sharedItems/>
    </cacheField>
    <cacheField name="Prioridade" numFmtId="0">
      <sharedItems/>
    </cacheField>
    <cacheField name="Qtd" numFmtId="0">
      <sharedItems containsSemiMixedTypes="0" containsString="0" containsNumber="1" containsInteger="1" minValue="1" maxValue="50"/>
    </cacheField>
    <cacheField name="Vlr. Uni" numFmtId="164">
      <sharedItems containsSemiMixedTypes="0" containsString="0" containsNumber="1" containsInteger="1" minValue="1" maxValue="500"/>
    </cacheField>
    <cacheField name="Total" numFmtId="164">
      <sharedItems containsSemiMixedTypes="0" containsString="0" containsNumber="1" containsInteger="1" minValue="10" maxValue="500"/>
    </cacheField>
    <cacheField name="% do Lucro" numFmtId="10">
      <sharedItems containsSemiMixedTypes="0" containsString="0" containsNumber="1" minValue="8.3829323497359373E-3" maxValue="0.4191466174867968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ao" refreshedDate="46083.001053125001" createdVersion="6" refreshedVersion="6" minRefreshableVersion="3" recordCount="7" xr:uid="{94F9DA5E-664B-48CA-BBAC-BFB578D0BA01}">
  <cacheSource type="worksheet">
    <worksheetSource name="Tabela8"/>
  </cacheSource>
  <cacheFields count="4">
    <cacheField name="Tipo" numFmtId="0">
      <sharedItems count="8">
        <s v="Capital Inicial"/>
        <s v="Vendas"/>
        <s v="Impostos"/>
        <s v="Despesas"/>
        <s v="Lucro Líquido"/>
        <s v="Lucro Bruto"/>
        <s v="Margem"/>
        <s v="Receita Total" u="1"/>
      </sharedItems>
    </cacheField>
    <cacheField name="Data" numFmtId="14">
      <sharedItems containsSemiMixedTypes="0" containsNonDate="0" containsDate="1" containsString="0" minDate="2026-02-01T00:00:00" maxDate="2026-02-02T00:00:00"/>
    </cacheField>
    <cacheField name="Mês" numFmtId="17">
      <sharedItems/>
    </cacheField>
    <cacheField name="Total" numFmtId="0">
      <sharedItems containsSemiMixedTypes="0" containsString="0" containsNumber="1" minValue="0.29164221644731331" maxValue="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ao" refreshedDate="46083.001053472224" createdVersion="6" refreshedVersion="6" minRefreshableVersion="3" recordCount="4" xr:uid="{02242ED0-8E59-48B7-91F8-C8DEDFDB1891}">
  <cacheSource type="worksheet">
    <worksheetSource name="Tabela7"/>
  </cacheSource>
  <cacheFields count="7">
    <cacheField name="Status" numFmtId="0">
      <sharedItems/>
    </cacheField>
    <cacheField name="Vela" numFmtId="0">
      <sharedItems count="4">
        <s v="Produção"/>
        <s v="Equipamentos"/>
        <s v="Luz"/>
        <s v="Água"/>
      </sharedItems>
    </cacheField>
    <cacheField name="Data" numFmtId="14">
      <sharedItems containsSemiMixedTypes="0" containsNonDate="0" containsDate="1" containsString="0" minDate="2026-02-01T00:00:00" maxDate="2026-02-02T00:00:00"/>
    </cacheField>
    <cacheField name="Mês" numFmtId="17">
      <sharedItems/>
    </cacheField>
    <cacheField name="Prioridade" numFmtId="0">
      <sharedItems/>
    </cacheField>
    <cacheField name="Total" numFmtId="164">
      <sharedItems containsSemiMixedTypes="0" containsString="0" containsNumber="1" containsInteger="1" minValue="0" maxValue="500"/>
    </cacheField>
    <cacheField name="% do Lucro" numFmtId="10">
      <sharedItems containsSemiMixedTypes="0" containsString="0" containsNumber="1" minValue="0" maxValue="4.035512510088780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ao" refreshedDate="46083.001053587963" createdVersion="6" refreshedVersion="6" minRefreshableVersion="3" recordCount="6" xr:uid="{BB56718C-C4EE-4C01-8BF3-0FAA9DD224F9}">
  <cacheSource type="worksheet">
    <worksheetSource name="Tabela5"/>
  </cacheSource>
  <cacheFields count="10">
    <cacheField name="Status" numFmtId="0">
      <sharedItems count="5">
        <s v="Venda"/>
        <s v="Aguarde cliente"/>
        <s v="Matéria-prima" u="1"/>
        <s v="Próximo mês" u="1"/>
        <s v="Produzir" u="1"/>
      </sharedItems>
    </cacheField>
    <cacheField name="Vela" numFmtId="0">
      <sharedItems count="4">
        <s v="Decorativa"/>
        <s v="Pote pequeno"/>
        <s v="Pote grande"/>
        <s v="Pote médio"/>
      </sharedItems>
    </cacheField>
    <cacheField name="Cliente" numFmtId="0">
      <sharedItems/>
    </cacheField>
    <cacheField name="Pagamento" numFmtId="0">
      <sharedItems/>
    </cacheField>
    <cacheField name="Data" numFmtId="14">
      <sharedItems containsSemiMixedTypes="0" containsNonDate="0" containsDate="1" containsString="0" minDate="2026-02-01T00:00:00" maxDate="2026-02-05T00:00:00"/>
    </cacheField>
    <cacheField name="Mês" numFmtId="0">
      <sharedItems/>
    </cacheField>
    <cacheField name="Prioridade" numFmtId="0">
      <sharedItems/>
    </cacheField>
    <cacheField name="Qtd" numFmtId="0">
      <sharedItems containsSemiMixedTypes="0" containsString="0" containsNumber="1" containsInteger="1" minValue="2" maxValue="10"/>
    </cacheField>
    <cacheField name="Vlr. Unitário" numFmtId="164">
      <sharedItems containsSemiMixedTypes="0" containsString="0" containsNumber="1" minValue="1" maxValue="6.4"/>
    </cacheField>
    <cacheField name="Total" numFmtId="164">
      <sharedItems containsSemiMixedTypes="0" containsString="0" containsNumber="1" minValue="2" maxValue="45"/>
    </cacheField>
  </cacheFields>
  <extLst>
    <ext xmlns:x14="http://schemas.microsoft.com/office/spreadsheetml/2009/9/main" uri="{725AE2AE-9491-48be-B2B4-4EB974FC3084}">
      <x14:pivotCacheDefinition pivotCacheId="100905399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ao" refreshedDate="46083.001054282409" createdVersion="6" refreshedVersion="6" minRefreshableVersion="3" recordCount="4" xr:uid="{4E78CADD-48A8-4FE4-B76F-EB93C83CD695}">
  <cacheSource type="worksheet">
    <worksheetSource name="Tabela55"/>
  </cacheSource>
  <cacheFields count="9">
    <cacheField name="Status" numFmtId="0">
      <sharedItems/>
    </cacheField>
    <cacheField name="Vela" numFmtId="0">
      <sharedItems count="4">
        <s v="Decorativa"/>
        <s v="Pote pequeno"/>
        <s v="Pote médio"/>
        <s v="Pote grande"/>
      </sharedItems>
    </cacheField>
    <cacheField name="Cliente" numFmtId="0">
      <sharedItems/>
    </cacheField>
    <cacheField name="Data" numFmtId="14">
      <sharedItems containsSemiMixedTypes="0" containsNonDate="0" containsDate="1" containsString="0" minDate="2026-02-02T00:00:00" maxDate="2026-02-06T00:00:00"/>
    </cacheField>
    <cacheField name="Mês" numFmtId="0">
      <sharedItems/>
    </cacheField>
    <cacheField name="Prioridade" numFmtId="0">
      <sharedItems/>
    </cacheField>
    <cacheField name="Qtd" numFmtId="0">
      <sharedItems containsSemiMixedTypes="0" containsString="0" containsNumber="1" containsInteger="1" minValue="10" maxValue="25"/>
    </cacheField>
    <cacheField name="Vlr. Uni" numFmtId="164">
      <sharedItems containsSemiMixedTypes="0" containsString="0" containsNumber="1" containsInteger="1" minValue="1" maxValue="9"/>
    </cacheField>
    <cacheField name="Total" numFmtId="164">
      <sharedItems containsSemiMixedTypes="0" containsString="0" containsNumber="1" containsInteger="1" minValue="20" maxValue="225"/>
    </cacheField>
  </cacheFields>
  <extLst>
    <ext xmlns:x14="http://schemas.microsoft.com/office/spreadsheetml/2009/9/main" uri="{725AE2AE-9491-48be-B2B4-4EB974FC3084}">
      <x14:pivotCacheDefinition pivotCacheId="103011381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">
  <r>
    <s v="Produzida"/>
    <x v="0"/>
    <d v="2026-02-01T00:00:00"/>
    <s v="Fevereiro"/>
    <s v="Entregue"/>
    <n v="50"/>
    <n v="1"/>
    <n v="50"/>
    <n v="4.1914661748679687E-2"/>
  </r>
  <r>
    <s v="Matéria-prima"/>
    <x v="1"/>
    <d v="2026-02-01T00:00:00"/>
    <s v="Fevereiro"/>
    <s v="Entregue"/>
    <n v="50"/>
    <n v="2"/>
    <n v="100"/>
    <n v="8.3829323497359373E-2"/>
  </r>
  <r>
    <s v="Matéria-prima"/>
    <x v="2"/>
    <d v="2026-02-01T00:00:00"/>
    <s v="Fevereiro"/>
    <s v="Entregue"/>
    <n v="30"/>
    <n v="2"/>
    <n v="60"/>
    <n v="5.0297594098415624E-2"/>
  </r>
  <r>
    <s v="Matéria-prima"/>
    <x v="3"/>
    <d v="2026-02-01T00:00:00"/>
    <s v="Fevereiro"/>
    <s v="Entregue"/>
    <n v="5"/>
    <n v="2"/>
    <n v="10"/>
    <n v="8.3829323497359373E-3"/>
  </r>
  <r>
    <s v="Matéria-prima"/>
    <x v="4"/>
    <d v="2026-02-01T00:00:00"/>
    <s v="Fevereiro"/>
    <s v="Entregue"/>
    <n v="50"/>
    <n v="2"/>
    <n v="100"/>
    <n v="8.3829323497359373E-2"/>
  </r>
  <r>
    <s v="Matéria-prima"/>
    <x v="5"/>
    <d v="2026-02-01T00:00:00"/>
    <s v="Fevereiro"/>
    <s v="Entregue"/>
    <n v="1"/>
    <n v="500"/>
    <n v="500"/>
    <n v="0.4191466174867968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d v="2026-02-01T00:00:00"/>
    <s v="Fevereiro"/>
    <n v="2000"/>
  </r>
  <r>
    <x v="1"/>
    <d v="2026-02-01T00:00:00"/>
    <s v="Fevereiro"/>
    <n v="123.9"/>
  </r>
  <r>
    <x v="2"/>
    <d v="2026-02-01T00:00:00"/>
    <s v="Fevereiro"/>
    <n v="86"/>
  </r>
  <r>
    <x v="3"/>
    <d v="2026-02-01T00:00:00"/>
    <s v="Fevereiro"/>
    <n v="845"/>
  </r>
  <r>
    <x v="4"/>
    <d v="2026-02-01T00:00:00"/>
    <s v="Fevereiro"/>
    <n v="1192.9000000000001"/>
  </r>
  <r>
    <x v="5"/>
    <d v="2026-02-01T00:00:00"/>
    <s v="Fevereiro"/>
    <n v="347.90000000000009"/>
  </r>
  <r>
    <x v="6"/>
    <d v="2026-02-01T00:00:00"/>
    <s v="Fevereiro"/>
    <n v="0.29164221644731331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">
  <r>
    <s v="Venda"/>
    <x v="0"/>
    <d v="2026-02-01T00:00:00"/>
    <s v="Fevereiro"/>
    <s v="Padrão"/>
    <n v="335"/>
    <n v="2.7037933817594832"/>
  </r>
  <r>
    <s v="Venda"/>
    <x v="1"/>
    <d v="2026-02-01T00:00:00"/>
    <s v="Fevereiro"/>
    <s v="Padrão"/>
    <n v="500"/>
    <n v="4.0355125100887808"/>
  </r>
  <r>
    <s v="Venda"/>
    <x v="2"/>
    <d v="2026-02-01T00:00:00"/>
    <s v="Fevereiro"/>
    <s v="Padrão"/>
    <n v="10"/>
    <n v="8.0710250201775621E-2"/>
  </r>
  <r>
    <s v="Venda"/>
    <x v="3"/>
    <d v="2026-02-01T00:00:00"/>
    <s v="Fevereiro"/>
    <s v="Padrão"/>
    <n v="0"/>
    <n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">
  <r>
    <x v="0"/>
    <x v="0"/>
    <s v="Joana"/>
    <s v="Pix"/>
    <d v="2026-02-01T00:00:00"/>
    <s v="Fevereiro"/>
    <s v="Alta"/>
    <n v="10"/>
    <n v="4.5"/>
    <n v="45"/>
  </r>
  <r>
    <x v="0"/>
    <x v="0"/>
    <s v="Joana"/>
    <s v="Pix"/>
    <d v="2026-02-01T00:00:00"/>
    <s v="Fevereiro"/>
    <s v="Alta"/>
    <n v="5"/>
    <n v="4.5"/>
    <n v="22.5"/>
  </r>
  <r>
    <x v="0"/>
    <x v="1"/>
    <s v="Gabriela"/>
    <s v="Cartão"/>
    <d v="2026-02-02T00:00:00"/>
    <s v="Fevereiro"/>
    <s v="Padrão"/>
    <n v="4"/>
    <n v="5.6"/>
    <n v="22.4"/>
  </r>
  <r>
    <x v="1"/>
    <x v="2"/>
    <s v="Pietra"/>
    <s v="Cartão"/>
    <d v="2026-02-03T00:00:00"/>
    <s v="Fevereiro"/>
    <s v="Padrão"/>
    <n v="2"/>
    <n v="3"/>
    <n v="6"/>
  </r>
  <r>
    <x v="0"/>
    <x v="3"/>
    <s v="Silvana"/>
    <s v="Cartão"/>
    <d v="2026-02-04T00:00:00"/>
    <s v="Fevereiro"/>
    <s v="Padrão"/>
    <n v="5"/>
    <n v="6.4"/>
    <n v="32"/>
  </r>
  <r>
    <x v="0"/>
    <x v="1"/>
    <s v="Silvana"/>
    <s v="Cartão"/>
    <d v="2026-02-04T00:00:00"/>
    <s v="Fevereiro"/>
    <s v="Padrão"/>
    <n v="2"/>
    <n v="1"/>
    <n v="2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">
  <r>
    <s v="Produzida"/>
    <x v="0"/>
    <s v="Gabriela"/>
    <d v="2026-02-02T00:00:00"/>
    <s v="Fevereiro"/>
    <s v="Entregue"/>
    <n v="20"/>
    <n v="1"/>
    <n v="20"/>
  </r>
  <r>
    <s v="Aguarde cliente"/>
    <x v="1"/>
    <s v="Pietra"/>
    <d v="2026-02-03T00:00:00"/>
    <s v="Fevereiro"/>
    <s v="Entregue"/>
    <n v="10"/>
    <n v="3"/>
    <n v="30"/>
  </r>
  <r>
    <s v="Aguarde cliente"/>
    <x v="2"/>
    <s v="Silvana"/>
    <d v="2026-02-04T00:00:00"/>
    <s v="Fevereiro"/>
    <s v="Entregue"/>
    <n v="15"/>
    <n v="4"/>
    <n v="60"/>
  </r>
  <r>
    <s v="Aguarde cliente"/>
    <x v="3"/>
    <s v="Patrícia"/>
    <d v="2026-02-05T00:00:00"/>
    <s v="Fevereiro"/>
    <s v="Entregue"/>
    <n v="25"/>
    <n v="9"/>
    <n v="22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8AB46A5-FAFF-4E27-A4E1-8F5E89809074}" name="Tabela dinâmica4" cacheId="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E4:F9" firstHeaderRow="1" firstDataRow="1" firstDataCol="1"/>
  <pivotFields count="7">
    <pivotField showAll="0"/>
    <pivotField axis="axisRow" showAll="0">
      <items count="5">
        <item x="3"/>
        <item x="1"/>
        <item x="2"/>
        <item x="0"/>
        <item t="default"/>
      </items>
    </pivotField>
    <pivotField numFmtId="14" showAll="0"/>
    <pivotField showAll="0"/>
    <pivotField showAll="0"/>
    <pivotField dataField="1" numFmtId="164" showAll="0"/>
    <pivotField numFmtId="10"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Soma de Total" fld="5" baseField="1" baseItem="0" numFmtId="4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97DDA40-6D9F-428E-8E58-825AC90EEC23}" name="Tabela dinâmica2" cacheId="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7">
  <location ref="B4:C7" firstHeaderRow="1" firstDataRow="1" firstDataCol="1"/>
  <pivotFields count="10">
    <pivotField axis="axisRow" showAll="0">
      <items count="6">
        <item sd="0" x="1"/>
        <item sd="0" x="0"/>
        <item m="1" x="3"/>
        <item m="1" x="4"/>
        <item m="1" x="2"/>
        <item t="default" sd="0"/>
      </items>
    </pivotField>
    <pivotField showAll="0"/>
    <pivotField showAll="0"/>
    <pivotField showAll="0"/>
    <pivotField numFmtId="14" showAll="0"/>
    <pivotField showAll="0"/>
    <pivotField showAll="0"/>
    <pivotField showAll="0"/>
    <pivotField numFmtId="164" showAll="0"/>
    <pivotField dataField="1" numFmtId="164" showAll="0"/>
  </pivotFields>
  <rowFields count="1">
    <field x="0"/>
  </rowFields>
  <rowItems count="3">
    <i>
      <x/>
    </i>
    <i>
      <x v="1"/>
    </i>
    <i t="grand">
      <x/>
    </i>
  </rowItems>
  <colItems count="1">
    <i/>
  </colItems>
  <dataFields count="1">
    <dataField name="Soma de Total" fld="9" baseField="0" baseItem="0" numFmtId="44"/>
  </dataFields>
  <chartFormats count="5">
    <chartFormat chart="1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6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6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3B4BB22-B7DA-4513-83EF-069CD98803D0}" name="Tabela dinâmica6" cacheId="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5">
  <location ref="B11:C16" firstHeaderRow="1" firstDataRow="1" firstDataCol="1"/>
  <pivotFields count="10">
    <pivotField showAll="0"/>
    <pivotField axis="axisRow" showAll="0">
      <items count="5">
        <item x="0"/>
        <item x="2"/>
        <item x="3"/>
        <item x="1"/>
        <item t="default"/>
      </items>
    </pivotField>
    <pivotField showAll="0"/>
    <pivotField showAll="0"/>
    <pivotField numFmtId="14" showAll="0"/>
    <pivotField showAll="0"/>
    <pivotField showAll="0"/>
    <pivotField showAll="0"/>
    <pivotField numFmtId="164" showAll="0"/>
    <pivotField dataField="1" numFmtId="164"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Soma de Total" fld="9" baseField="1" baseItem="0" numFmtId="44"/>
  </dataFields>
  <chartFormats count="10">
    <chartFormat chart="29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7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9" format="8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9" format="9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9" format="10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44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4" format="7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44" format="8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44" format="9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44" format="10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F81AA59-87B0-4A73-BCB9-197A172A5682}" name="Tabela dinâmica5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H4:H5" firstHeaderRow="1" firstDataRow="1" firstDataCol="0"/>
  <pivotFields count="4">
    <pivotField showAll="0"/>
    <pivotField numFmtId="14" showAll="0"/>
    <pivotField showAll="0"/>
    <pivotField dataField="1" numFmtId="164" showAll="0"/>
  </pivotFields>
  <rowItems count="1">
    <i/>
  </rowItems>
  <colItems count="1">
    <i/>
  </colItems>
  <dataFields count="1">
    <dataField name="Soma de Total" fld="3" baseField="1" baseItem="0" numFmtId="4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1D7CE6F-6834-4AFE-9453-EA892A124B4B}" name="Tabela dinâmica1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8">
  <location ref="K4:L12" firstHeaderRow="1" firstDataRow="1" firstDataCol="1"/>
  <pivotFields count="4">
    <pivotField axis="axisRow" showAll="0">
      <items count="9">
        <item x="0"/>
        <item x="3"/>
        <item x="5"/>
        <item x="6"/>
        <item m="1" x="7"/>
        <item x="1"/>
        <item x="2"/>
        <item x="4"/>
        <item t="default"/>
      </items>
    </pivotField>
    <pivotField numFmtId="14" showAll="0"/>
    <pivotField showAll="0"/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5"/>
    </i>
    <i>
      <x v="6"/>
    </i>
    <i>
      <x v="7"/>
    </i>
    <i t="grand">
      <x/>
    </i>
  </rowItems>
  <colItems count="1">
    <i/>
  </colItems>
  <dataFields count="1">
    <dataField name="Soma de Total" fld="3" baseField="0" baseItem="0" numFmtId="164"/>
  </dataFields>
  <chartFormats count="7">
    <chartFormat chart="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3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7" format="4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7" format="5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7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7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7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59BAFF8-566E-4386-B96A-7B8A7E41EB5E}" name="Tabela dinâmica2" cacheId="0" applyNumberFormats="0" applyBorderFormats="0" applyFontFormats="0" applyPatternFormats="0" applyAlignmentFormats="0" applyWidthHeightFormats="1" dataCaption="Valores" updatedVersion="6" minRefreshableVersion="3" showDrill="0" useAutoFormatting="1" itemPrintTitles="1" createdVersion="6" indent="0" outline="1" outlineData="1" multipleFieldFilters="0" chartFormat="10">
  <location ref="E4:F11" firstHeaderRow="1" firstDataRow="1" firstDataCol="1"/>
  <pivotFields count="9">
    <pivotField showAll="0"/>
    <pivotField axis="axisRow" showAll="0">
      <items count="7">
        <item x="1"/>
        <item x="2"/>
        <item x="5"/>
        <item x="3"/>
        <item x="0"/>
        <item x="4"/>
        <item t="default"/>
      </items>
    </pivotField>
    <pivotField numFmtId="14" showAll="0"/>
    <pivotField showAll="0"/>
    <pivotField showAll="0"/>
    <pivotField dataField="1" showAll="0"/>
    <pivotField numFmtId="164" showAll="0"/>
    <pivotField numFmtId="164" showAll="0"/>
    <pivotField numFmtId="10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Soma de Qtd" fld="5" baseField="0" baseItem="0"/>
  </dataFields>
  <chartFormats count="7">
    <chartFormat chart="9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9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9" format="10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9" format="1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9" format="12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9" format="13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9" format="14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487692-7B9A-48EC-9A93-45E19F411427}" name="Tabela dinâmica1" cacheId="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B4:C9" firstHeaderRow="1" firstDataRow="1" firstDataCol="1"/>
  <pivotFields count="9">
    <pivotField showAll="0"/>
    <pivotField axis="axisRow" showAll="0">
      <items count="5">
        <item x="0"/>
        <item x="3"/>
        <item x="2"/>
        <item x="1"/>
        <item t="default"/>
      </items>
    </pivotField>
    <pivotField showAll="0"/>
    <pivotField numFmtId="14" showAll="0"/>
    <pivotField showAll="0"/>
    <pivotField showAll="0"/>
    <pivotField dataField="1" showAll="0"/>
    <pivotField numFmtId="164" showAll="0"/>
    <pivotField numFmtId="164"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Soma de Qtd" fld="6" baseField="0" baseItem="0"/>
  </dataFields>
  <chartFormats count="5">
    <chartFormat chart="2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9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10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Vela" xr10:uid="{BBA82A28-DEFD-44A0-8C69-C80218F8C132}" sourceName="Vela">
  <pivotTables>
    <pivotTable tabId="19" name="Tabela dinâmica1"/>
  </pivotTables>
  <data>
    <tabular pivotCacheId="1030113810">
      <items count="4">
        <i x="0" s="1"/>
        <i x="3" s="1"/>
        <i x="2" s="1"/>
        <i x="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Vela1" xr10:uid="{95B55468-4B0D-43D4-99AA-3629AEA30BAD}" sourceName="Vela">
  <pivotTables>
    <pivotTable tabId="18" name="Tabela dinâmica6"/>
  </pivotTables>
  <data>
    <tabular pivotCacheId="100905399">
      <items count="4">
        <i x="0" s="1"/>
        <i x="2" s="1"/>
        <i x="3" s="1"/>
        <i x="1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Vela 1" xr10:uid="{DC9E4944-D30C-4D1B-AFF9-F725047812D0}" cache="SegmentaçãodeDados_Vela" caption="Produção" style="Estilo de Segmentação de Dados 3" rowHeight="241300"/>
  <slicer name="Vela" xr10:uid="{80F8E240-AD93-4531-8ACF-FC4A6331E144}" cache="SegmentaçãodeDados_Vela1" caption="Vendas" startItem="1" style="Estilo de Segmentação de Dados 3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C45A1E4-F839-4422-8823-594B325F7EEA}" name="Tabela5" displayName="Tabela5" ref="C6:L12" totalsRowShown="0" headerRowDxfId="202" headerRowBorderDxfId="201" tableBorderDxfId="200" totalsRowBorderDxfId="199">
  <autoFilter ref="C6:L12" xr:uid="{96095A02-7D61-4F8E-A70E-F5B7249321BA}"/>
  <tableColumns count="10">
    <tableColumn id="1" xr3:uid="{3219A06A-E979-4DD7-AF64-3703A77DC83C}" name="Status" dataDxfId="198"/>
    <tableColumn id="2" xr3:uid="{F45D8940-3062-4730-8D82-A4EBB4671E2B}" name="Vela" dataDxfId="197"/>
    <tableColumn id="3" xr3:uid="{548AF9E0-DEE9-4AF8-86BB-7A6CC84FE06A}" name="Cliente" dataDxfId="196"/>
    <tableColumn id="10" xr3:uid="{70299B97-4DF2-4A94-AB43-F240B8450637}" name="Pagamento" dataDxfId="195"/>
    <tableColumn id="4" xr3:uid="{AC6586BE-9248-44F1-8049-E2B9C4EB0CC3}" name="Data" dataDxfId="194"/>
    <tableColumn id="9" xr3:uid="{D43DE1EF-E99C-4906-BB4C-2EDE2BAC405B}" name="Mês" dataDxfId="193">
      <calculatedColumnFormula>PROPER(TEXT(G7,"Mmmm"))</calculatedColumnFormula>
    </tableColumn>
    <tableColumn id="5" xr3:uid="{5897C9A5-AD56-4F5D-B7BA-C3FCAD9EF885}" name="Prioridade" dataDxfId="192"/>
    <tableColumn id="7" xr3:uid="{330D858F-8A09-4F47-A619-8873669E5F98}" name="Qtd" dataDxfId="191"/>
    <tableColumn id="8" xr3:uid="{91F507C1-4860-469B-91DA-377CC9ABB43B}" name="Vlr. Unitário" dataDxfId="190"/>
    <tableColumn id="6" xr3:uid="{2FAAE3A7-8EC7-44EC-BE0A-5E202EC514B7}" name="Total" dataDxfId="189">
      <calculatedColumnFormula>Tabela5[[#This Row],[Vlr. Unitário]]*Tabela5[[#This Row],[Qtd]]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83F1933-203C-4F52-BBF4-BF541D571179}" name="Tabela7" displayName="Tabela7" ref="C22:I24" totalsRowShown="0" headerRowDxfId="188" headerRowBorderDxfId="187" tableBorderDxfId="186">
  <autoFilter ref="C22:I24" xr:uid="{D09E29E2-54F9-4E57-A554-0BF14ECDEEEE}"/>
  <tableColumns count="7">
    <tableColumn id="1" xr3:uid="{1D873F3F-5680-462E-B128-E7E7CF858353}" name="Status" dataDxfId="185"/>
    <tableColumn id="2" xr3:uid="{7201029D-8D5A-4D4E-AB1D-8189D3295482}" name="Vela" dataDxfId="184"/>
    <tableColumn id="4" xr3:uid="{3583867A-F413-41E9-B8DD-BDCDEA9DC3DA}" name="Data" dataDxfId="183"/>
    <tableColumn id="5" xr3:uid="{CD5DECCF-9EBF-4457-A6FA-4646A1B12546}" name="Mês" dataDxfId="182">
      <calculatedColumnFormula>PROPER(TEXT(E23,"Mmmm"))</calculatedColumnFormula>
    </tableColumn>
    <tableColumn id="6" xr3:uid="{3E48DCD8-D8EB-441E-9020-87BBB583EFF7}" name="Prioridade" dataDxfId="181"/>
    <tableColumn id="7" xr3:uid="{0EA8BE27-73D2-4FE6-85E1-EFDBB5A6CE23}" name="Total" dataDxfId="180"/>
    <tableColumn id="8" xr3:uid="{D8FE2A50-3414-4CB1-B118-846DA80A5B4A}" name="% do Lucro" dataDxfId="179">
      <calculatedColumnFormula>Tabela7[[#This Row],[Total]]/H5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8AFA46F-07F1-4640-ADBB-E03F9C40F361}" name="Tabela8" displayName="Tabela8" ref="C31:F38" totalsRowShown="0" headerRowDxfId="178" headerRowBorderDxfId="177" tableBorderDxfId="176" totalsRowBorderDxfId="175">
  <autoFilter ref="C31:F38" xr:uid="{2E0F76C5-5668-4CE3-890F-D3597499A61E}"/>
  <tableColumns count="4">
    <tableColumn id="2" xr3:uid="{06426675-C623-4E22-802C-FF7C7B0E73A6}" name="Tipo" dataDxfId="174" totalsRowDxfId="173"/>
    <tableColumn id="3" xr3:uid="{62C011E4-68D4-4B82-8FC9-885FCF498E4C}" name="Data" dataDxfId="172" totalsRowDxfId="171"/>
    <tableColumn id="4" xr3:uid="{C39C0BEF-40F1-4A7D-B1DC-01DED1760EAD}" name="Mês" dataDxfId="170" totalsRowDxfId="169">
      <calculatedColumnFormula>PROPER(TEXT(D32,"Mmmm"))</calculatedColumnFormula>
    </tableColumn>
    <tableColumn id="5" xr3:uid="{AC20AD33-4334-48A2-BAAA-0A007C781CBC}" name="Total" dataDxfId="168" totalsRowDxfId="167">
      <calculatedColumnFormula>H4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B5592C7-F190-4DAD-9F01-F6BD14B9C1A9}" name="Tabela9" displayName="Tabela9" ref="C15:J19" totalsRowShown="0" headerRowDxfId="166" dataDxfId="164" headerRowBorderDxfId="165" tableBorderDxfId="163">
  <autoFilter ref="C15:J19" xr:uid="{96A2018A-7DA8-4C2A-9D2E-97E1761D0276}"/>
  <tableColumns count="8">
    <tableColumn id="1" xr3:uid="{C3F1A195-9278-46D1-9118-C2CD45C809AC}" name="Status" dataDxfId="162"/>
    <tableColumn id="2" xr3:uid="{4AADF3C9-41E5-4726-9FF7-02C88BB75102}" name="Vela" dataDxfId="161"/>
    <tableColumn id="3" xr3:uid="{8099A8AA-9848-4C49-A77E-E89593B23BCD}" name="Data" dataDxfId="160"/>
    <tableColumn id="4" xr3:uid="{42B0CDCC-D70B-4E0E-AC43-01CED2A76237}" name="Mês" dataDxfId="159">
      <calculatedColumnFormula>PROPER(TEXT(E16,"Mmmm"))</calculatedColumnFormula>
    </tableColumn>
    <tableColumn id="5" xr3:uid="{85093AC6-BDDC-4FAE-9B71-61A931B07E70}" name="Prioridade" dataDxfId="158"/>
    <tableColumn id="6" xr3:uid="{4A0FBCC7-BC94-48ED-802A-F4F2C692EF4F}" name="Produzidas" dataDxfId="157">
      <calculatedColumnFormula>Produção!I7</calculatedColumnFormula>
    </tableColumn>
    <tableColumn id="8" xr3:uid="{0FC8517C-2898-4B94-BEBF-A1EBDB3E5C46}" name="Vendas" dataDxfId="156">
      <calculatedColumnFormula>SUMIFS(Tabela5[Qtd],Tabela5[Vela],Tabela9[[#This Row],[Vela]])</calculatedColumnFormula>
    </tableColumn>
    <tableColumn id="10" xr3:uid="{842732BA-E140-4B9D-8A80-669B5AFE8AAC}" name="Estoque" dataDxfId="155">
      <calculatedColumnFormula>Tabela9[[#This Row],[Produzidas]]-Tabela9[[#This Row],[Vendas]]</calculatedColumn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0F91C44-FB64-44B3-9BDD-6717472DABC8}" name="Tabela111" displayName="Tabela111" ref="C27:H28" totalsRowShown="0" headerRowDxfId="154" dataDxfId="152" headerRowBorderDxfId="153" tableBorderDxfId="151" totalsRowBorderDxfId="150">
  <autoFilter ref="C27:H28" xr:uid="{1D27B239-6923-44A4-8F0B-49FC4F9621AA}"/>
  <tableColumns count="6">
    <tableColumn id="1" xr3:uid="{A4A30B95-C6EA-4DEE-8C5E-3C90693A7E90}" name="Tipo" dataDxfId="149"/>
    <tableColumn id="2" xr3:uid="{1E9549BE-4D6D-4F14-8D8B-BDBEC342A280}" name="Detalhes" dataDxfId="148"/>
    <tableColumn id="3" xr3:uid="{B5BCA834-4883-457C-9A1C-23E585338B49}" name="Mês" dataDxfId="147"/>
    <tableColumn id="4" xr3:uid="{F0D102C5-E7B4-4F63-A213-A120CDE3D935}" name="Faturamento" dataDxfId="146"/>
    <tableColumn id="5" xr3:uid="{121D0A8F-0F07-4746-81F0-CC3FE882488D}" name="Imposto" dataDxfId="145"/>
    <tableColumn id="6" xr3:uid="{04B349DB-49CF-467D-BAC9-0424815EC3AD}" name="Total" dataDxfId="144" dataCellStyle="Moeda">
      <calculatedColumnFormula>Tabela111[Faturamento]-Tabela111[Imposto]</calculatedColumnFormula>
    </tableColumn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1A88E8D-E53E-487F-9CFF-027850CBE956}" name="Tabela55" displayName="Tabela55" ref="C6:K10" totalsRowShown="0" headerRowDxfId="66" headerRowBorderDxfId="65" tableBorderDxfId="64" totalsRowBorderDxfId="63">
  <autoFilter ref="C6:K10" xr:uid="{FD431E63-73C0-4EFB-BBDE-91BE19A1A2AE}"/>
  <tableColumns count="9">
    <tableColumn id="1" xr3:uid="{8AB6EAD9-8462-4DD2-AD20-A78C73AEDD4B}" name="Status" dataDxfId="62"/>
    <tableColumn id="2" xr3:uid="{AD9CF91A-F41F-4EB0-8894-AC34236B46E6}" name="Vela" dataDxfId="61"/>
    <tableColumn id="3" xr3:uid="{28DB8A02-101C-4C3A-B119-838F9BC55CC3}" name="Cliente" dataDxfId="60"/>
    <tableColumn id="4" xr3:uid="{9707A926-5014-439C-B865-D444062B39CC}" name="Data" dataDxfId="59"/>
    <tableColumn id="9" xr3:uid="{464F6E3D-3652-47FB-BD1B-3389A5BFD5C5}" name="Mês" dataDxfId="58">
      <calculatedColumnFormula>PROPER(TEXT(F7,"Mmmm"))</calculatedColumnFormula>
    </tableColumn>
    <tableColumn id="5" xr3:uid="{5330EE66-C515-4C48-9E08-F4ED58737558}" name="Prioridade" dataDxfId="57"/>
    <tableColumn id="7" xr3:uid="{DB5C3ADB-1006-4469-9D36-A76FE7DBFD2C}" name="Qtd" dataDxfId="56"/>
    <tableColumn id="8" xr3:uid="{D34A0E46-4CFE-4B30-AA1B-D8BB28AEB808}" name="Vlr. Uni" dataDxfId="55"/>
    <tableColumn id="6" xr3:uid="{37A4D0AE-0E93-4A8C-8332-91FAC8B2AE8A}" name="Total" dataDxfId="54">
      <calculatedColumnFormula>Tabela55[[#This Row],[Vlr. Uni]]*Tabela55[[#This Row],[Qtd]]</calculatedColumnFormula>
    </tableColumn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C804F9-3E72-4EFF-84E0-4AEBEC5057B3}" name="Tabela1" displayName="Tabela1" ref="C13:K23" totalsRowShown="0" headerRowDxfId="53" dataDxfId="51" headerRowBorderDxfId="52" tableBorderDxfId="50">
  <autoFilter ref="C13:K23" xr:uid="{E722E0FC-2D1D-454A-809D-BF443D0B9D8B}"/>
  <tableColumns count="9">
    <tableColumn id="1" xr3:uid="{A16C24DE-C5A3-4541-9EF7-56D12E2C348C}" name="Status" dataDxfId="49"/>
    <tableColumn id="2" xr3:uid="{DD617D9E-2441-42F9-B585-14331BB256C3}" name="Produto" dataDxfId="48"/>
    <tableColumn id="3" xr3:uid="{2523BA42-BF54-4FFC-B07F-4086B4609549}" name="Data" dataDxfId="47"/>
    <tableColumn id="4" xr3:uid="{D6C9B820-53AF-49A7-A2D9-57F1307EE176}" name="Mês" dataDxfId="46">
      <calculatedColumnFormula>PROPER(TEXT(E14,"Mmmm"))</calculatedColumnFormula>
    </tableColumn>
    <tableColumn id="5" xr3:uid="{44ABE781-E89B-4454-A3C7-B554EA30A39E}" name="Prioridade" dataDxfId="45"/>
    <tableColumn id="6" xr3:uid="{B1CD72D4-9C4B-42D8-B202-354FF54105AE}" name="Qtd" dataDxfId="44"/>
    <tableColumn id="7" xr3:uid="{1C4636BE-7133-45E1-BAB7-84EEC452A67A}" name="Vlr. Uni" dataDxfId="43"/>
    <tableColumn id="8" xr3:uid="{84E98297-0552-45A7-9CFB-F8927B543184}" name="Total" dataDxfId="42">
      <calculatedColumnFormula>I14*H14</calculatedColumnFormula>
    </tableColumn>
    <tableColumn id="10" xr3:uid="{6FBB539B-6496-46ED-99DF-48D7D42E7AAD}" name="Custo p/Vela" dataDxfId="41">
      <calculatedColumnFormula>Tabela1[[#This Row],[Total]]/Tabela1[[#This Row],[Qtd]]</calculatedColumnFormula>
    </tableColumn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E72CAA5-2663-4630-A8E2-3D2D4332E41D}" name="Tabela79" displayName="Tabela79" ref="B3:I4" totalsRowShown="0" headerRowDxfId="39" dataDxfId="37" headerRowBorderDxfId="38" tableBorderDxfId="36" totalsRowBorderDxfId="35" dataCellStyle="Moeda">
  <autoFilter ref="B3:I4" xr:uid="{4FD191A3-7C7E-4C94-BFEC-EE1CE9D21B76}"/>
  <tableColumns count="8">
    <tableColumn id="1" xr3:uid="{2EC8B06B-8676-444A-B57A-429C7D6FB9E7}" name="Mês" dataDxfId="34"/>
    <tableColumn id="2" xr3:uid="{708E776B-0A6F-4CCD-A3F2-D0DFAE3E0CB5}" name="Ano" dataDxfId="33"/>
    <tableColumn id="3" xr3:uid="{C6E654D8-D848-4EB6-9D0F-8EDD6F53DE71}" name="Capital Inicial" dataDxfId="32" dataCellStyle="Moeda"/>
    <tableColumn id="4" xr3:uid="{BE1E1845-291C-41F4-9849-1BCD30304C94}" name="Faturamento" dataDxfId="31" dataCellStyle="Moeda"/>
    <tableColumn id="5" xr3:uid="{48A5926B-2705-4491-9681-15D3E56EB1AF}" name="Despesas" dataDxfId="30" dataCellStyle="Moeda"/>
    <tableColumn id="6" xr3:uid="{F0E55D10-58F7-46DA-8D0A-50103BB6404A}" name="Impostos" dataDxfId="29" dataCellStyle="Moeda"/>
    <tableColumn id="7" xr3:uid="{174E147A-6486-4CAB-89F4-911667609C4E}" name="Estoques" dataDxfId="28" dataCellStyle="Moeda"/>
    <tableColumn id="8" xr3:uid="{22838B08-E880-4CD1-B2C5-816EF8F856F4}" name="Lucro" dataDxfId="27" dataCellStyle="Moeda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B71079-A38B-4D42-889F-1831C1E7704F}" name="Tabela3" displayName="Tabela3" ref="J3:R7" totalsRowShown="0" headerRowDxfId="24" dataDxfId="22" headerRowBorderDxfId="23" tableBorderDxfId="21" totalsRowBorderDxfId="20">
  <autoFilter ref="J3:R7" xr:uid="{1F22B252-581E-4618-AE56-DBA62759E0D9}"/>
  <tableColumns count="9">
    <tableColumn id="1" xr3:uid="{36BD2D01-175D-4FB9-BB65-89A90A54E01E}" name="Nome" dataDxfId="19"/>
    <tableColumn id="2" xr3:uid="{928BB093-55C7-422E-859B-AF23FB98B710}" name="Telefone" dataDxfId="18"/>
    <tableColumn id="3" xr3:uid="{05EBE6E5-51D3-4AC1-9FC1-3FD34BC061C5}" name="Endereço" dataDxfId="17"/>
    <tableColumn id="4" xr3:uid="{CABDC8DD-A6FA-43F3-A2FE-E208B6CCFE33}" name="CPF/CNPJ" dataDxfId="16"/>
    <tableColumn id="5" xr3:uid="{3EE06C6C-F64A-4379-9F84-788C11B26F69}" name="Pedidos" dataDxfId="15"/>
    <tableColumn id="9" xr3:uid="{BE84B47C-9274-49B5-8005-2AEA2A8788D1}" name="Quantidade" dataDxfId="14"/>
    <tableColumn id="7" xr3:uid="{B4FEE92B-2F70-41B2-A963-C6C257C83CED}" name="Vlr. Unitário" dataDxfId="13"/>
    <tableColumn id="8" xr3:uid="{5A811642-4B75-4FED-9D6B-D2D220270F3B}" name="Frete" dataDxfId="12"/>
    <tableColumn id="6" xr3:uid="{E50E2D36-74DD-4177-B9DF-C12D35FD6D1E}" name="Total" dataDxfId="11" dataCellStyle="Moeda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EB6ADCC-10FA-4D56-9126-004060C8F1FB}" name="Tabela6" displayName="Tabela6" ref="B3:G7" totalsRowShown="0" headerRowDxfId="10" dataDxfId="8" headerRowBorderDxfId="9" tableBorderDxfId="7" totalsRowBorderDxfId="6">
  <autoFilter ref="B3:G7" xr:uid="{F5D2189C-FCE0-47BC-A697-45268F5B9BA1}"/>
  <tableColumns count="6">
    <tableColumn id="1" xr3:uid="{60B9F851-0886-4F7E-A9F9-6F77DC611485}" name="Nome" dataDxfId="5"/>
    <tableColumn id="2" xr3:uid="{BA9707AD-053F-4ADA-910E-A5C5943734D3}" name="Telefone" dataDxfId="4"/>
    <tableColumn id="3" xr3:uid="{36783B53-B999-4D6B-A4C3-BB783A3274BA}" name="Endereço" dataDxfId="3"/>
    <tableColumn id="4" xr3:uid="{7A8824B3-6F0D-4D71-A083-0ED62637B131}" name="CPF/CNPJ" dataDxfId="2"/>
    <tableColumn id="5" xr3:uid="{475EE973-7D7E-4E06-9843-BA3AA221D6B4}" name="Pedidos" dataDxfId="1"/>
    <tableColumn id="6" xr3:uid="{EC522CE0-AD22-49EE-989A-AB8D08B09132}" name="Frete" dataDxfId="0" dataCellStyle="Moed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7.xml"/><Relationship Id="rId1" Type="http://schemas.openxmlformats.org/officeDocument/2006/relationships/pivotTable" Target="../pivotTables/pivotTable6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6B82E-3DA2-46C4-92BD-99C8872737BB}">
  <sheetPr>
    <pageSetUpPr autoPageBreaks="0"/>
  </sheetPr>
  <dimension ref="A1"/>
  <sheetViews>
    <sheetView showGridLines="0" tabSelected="1" zoomScale="90" zoomScaleNormal="90" workbookViewId="0">
      <selection activeCell="A8" sqref="A8"/>
    </sheetView>
  </sheetViews>
  <sheetFormatPr defaultRowHeight="15" x14ac:dyDescent="0.25"/>
  <sheetData>
    <row r="1" spans="1:1" x14ac:dyDescent="0.25">
      <c r="A1" t="s">
        <v>117</v>
      </c>
    </row>
  </sheetData>
  <pageMargins left="0.511811024" right="0.511811024" top="0.78740157499999996" bottom="0.78740157499999996" header="0.31496062000000002" footer="0.31496062000000002"/>
  <pageSetup paperSize="9" orientation="portrait" horizontalDpi="300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52527-9A1E-48C3-A280-F11501745606}">
  <dimension ref="A1:M59"/>
  <sheetViews>
    <sheetView showGridLines="0" zoomScale="80" zoomScaleNormal="80" workbookViewId="0">
      <selection activeCell="E42" sqref="E42"/>
    </sheetView>
  </sheetViews>
  <sheetFormatPr defaultRowHeight="15" x14ac:dyDescent="0.25"/>
  <cols>
    <col min="2" max="2" width="2.85546875" customWidth="1"/>
    <col min="3" max="3" width="18.140625" customWidth="1"/>
    <col min="4" max="4" width="22.7109375" bestFit="1" customWidth="1"/>
    <col min="5" max="5" width="27.28515625" bestFit="1" customWidth="1"/>
    <col min="6" max="6" width="23" bestFit="1" customWidth="1"/>
    <col min="7" max="7" width="19.85546875" customWidth="1"/>
    <col min="8" max="8" width="25.42578125" customWidth="1"/>
    <col min="9" max="9" width="19.85546875" bestFit="1" customWidth="1"/>
    <col min="10" max="10" width="22.28515625" bestFit="1" customWidth="1"/>
    <col min="11" max="11" width="22.42578125" bestFit="1" customWidth="1"/>
    <col min="12" max="12" width="15.42578125" customWidth="1"/>
  </cols>
  <sheetData>
    <row r="1" spans="1:13" ht="17.45" customHeight="1" thickTop="1" thickBot="1" x14ac:dyDescent="0.3">
      <c r="A1" s="131" t="s">
        <v>37</v>
      </c>
      <c r="B1" s="131"/>
      <c r="C1" s="132" t="s">
        <v>59</v>
      </c>
      <c r="D1" s="132"/>
      <c r="E1" s="134" t="s">
        <v>36</v>
      </c>
      <c r="F1" s="134"/>
      <c r="G1" s="134" t="s">
        <v>60</v>
      </c>
      <c r="H1" s="134"/>
      <c r="I1" s="54"/>
      <c r="J1" s="35"/>
      <c r="K1" s="36"/>
      <c r="L1" s="7"/>
      <c r="M1" s="7"/>
    </row>
    <row r="2" spans="1:13" ht="16.5" customHeight="1" thickTop="1" thickBot="1" x14ac:dyDescent="0.3">
      <c r="A2" s="131"/>
      <c r="B2" s="131"/>
      <c r="C2" s="132"/>
      <c r="D2" s="132"/>
      <c r="E2" s="134"/>
      <c r="F2" s="134"/>
      <c r="G2" s="134"/>
      <c r="H2" s="134"/>
      <c r="I2" s="55"/>
      <c r="J2" s="37"/>
      <c r="K2" s="38"/>
      <c r="L2" s="7"/>
      <c r="M2" s="7"/>
    </row>
    <row r="3" spans="1:13" ht="34.9" customHeight="1" thickTop="1" thickBot="1" x14ac:dyDescent="0.3">
      <c r="A3" s="131"/>
      <c r="B3" s="131"/>
      <c r="C3" s="133"/>
      <c r="D3" s="133"/>
      <c r="E3" s="135"/>
      <c r="F3" s="135"/>
      <c r="G3" s="135"/>
      <c r="H3" s="135"/>
      <c r="I3" s="48"/>
      <c r="J3" s="47"/>
      <c r="K3" s="49"/>
      <c r="L3" s="7"/>
      <c r="M3" s="7"/>
    </row>
    <row r="4" spans="1:13" ht="16.5" thickTop="1" thickBot="1" x14ac:dyDescent="0.3">
      <c r="A4" s="3"/>
      <c r="B4" s="3"/>
      <c r="C4" s="3"/>
      <c r="D4" s="3"/>
      <c r="E4" s="3"/>
      <c r="F4" s="3"/>
      <c r="G4" s="4"/>
      <c r="H4" s="4"/>
      <c r="I4" s="4"/>
      <c r="J4" s="3"/>
      <c r="K4" s="3"/>
      <c r="L4" s="7"/>
      <c r="M4" s="7"/>
    </row>
    <row r="5" spans="1:13" ht="40.9" customHeight="1" thickTop="1" thickBot="1" x14ac:dyDescent="0.3">
      <c r="A5" s="5"/>
      <c r="B5" s="6"/>
      <c r="C5" s="42" t="s">
        <v>62</v>
      </c>
      <c r="D5" s="43" t="s">
        <v>0</v>
      </c>
      <c r="E5" s="44"/>
      <c r="F5" s="45"/>
      <c r="G5" s="45" t="s">
        <v>70</v>
      </c>
      <c r="H5" s="46">
        <f>SUMIF(Tabela5[Status],"Venda",Tabela5[Total])</f>
        <v>943.4</v>
      </c>
      <c r="I5" s="46"/>
      <c r="J5" s="46"/>
      <c r="K5" s="46"/>
      <c r="L5" s="46"/>
      <c r="M5" s="7"/>
    </row>
    <row r="6" spans="1:13" s="87" customFormat="1" ht="40.9" customHeight="1" thickTop="1" thickBot="1" x14ac:dyDescent="0.3">
      <c r="A6" s="18"/>
      <c r="B6" s="6"/>
      <c r="C6" s="39" t="s">
        <v>28</v>
      </c>
      <c r="D6" s="39" t="s">
        <v>40</v>
      </c>
      <c r="E6" s="39" t="s">
        <v>41</v>
      </c>
      <c r="F6" s="39" t="s">
        <v>13</v>
      </c>
      <c r="G6" s="39" t="s">
        <v>12</v>
      </c>
      <c r="H6" s="39" t="s">
        <v>29</v>
      </c>
      <c r="I6" s="39" t="s">
        <v>30</v>
      </c>
      <c r="J6" s="41" t="s">
        <v>9</v>
      </c>
      <c r="K6" s="39" t="s">
        <v>42</v>
      </c>
      <c r="L6" s="39" t="s">
        <v>1</v>
      </c>
      <c r="M6" s="8"/>
    </row>
    <row r="7" spans="1:13" ht="24.6" customHeight="1" thickTop="1" thickBot="1" x14ac:dyDescent="0.3">
      <c r="A7" s="8" t="s">
        <v>31</v>
      </c>
      <c r="B7" s="29"/>
      <c r="C7" s="30" t="s">
        <v>38</v>
      </c>
      <c r="D7" s="9" t="s">
        <v>3</v>
      </c>
      <c r="E7" s="9" t="s">
        <v>43</v>
      </c>
      <c r="F7" s="9" t="s">
        <v>11</v>
      </c>
      <c r="G7" s="12">
        <v>46054</v>
      </c>
      <c r="H7" s="10" t="str">
        <f t="shared" ref="H7:H11" si="0">PROPER(TEXT(G7,"Mmmm"))</f>
        <v>Fevereiro</v>
      </c>
      <c r="I7" s="31" t="s">
        <v>73</v>
      </c>
      <c r="J7" s="50">
        <v>50</v>
      </c>
      <c r="K7" s="11">
        <v>9.5</v>
      </c>
      <c r="L7" s="11">
        <f>Tabela5[[#This Row],[Vlr. Unitário]]*Tabela5[[#This Row],[Qtd]]</f>
        <v>475</v>
      </c>
      <c r="M7" s="7"/>
    </row>
    <row r="8" spans="1:13" ht="24.6" customHeight="1" thickTop="1" thickBot="1" x14ac:dyDescent="0.3">
      <c r="A8" s="8" t="s">
        <v>31</v>
      </c>
      <c r="B8" s="29"/>
      <c r="C8" s="30" t="s">
        <v>38</v>
      </c>
      <c r="D8" s="9" t="s">
        <v>3</v>
      </c>
      <c r="E8" s="9" t="s">
        <v>43</v>
      </c>
      <c r="F8" s="9" t="s">
        <v>11</v>
      </c>
      <c r="G8" s="12">
        <v>46054</v>
      </c>
      <c r="H8" s="10" t="str">
        <f t="shared" ref="H8" si="1">PROPER(TEXT(G8,"Mmmm"))</f>
        <v>Fevereiro</v>
      </c>
      <c r="I8" s="31" t="s">
        <v>73</v>
      </c>
      <c r="J8" s="50">
        <v>5</v>
      </c>
      <c r="K8" s="11">
        <v>10.9</v>
      </c>
      <c r="L8" s="11">
        <f>Tabela5[[#This Row],[Vlr. Unitário]]*Tabela5[[#This Row],[Qtd]]</f>
        <v>54.5</v>
      </c>
      <c r="M8" s="7"/>
    </row>
    <row r="9" spans="1:13" ht="24.6" customHeight="1" thickTop="1" thickBot="1" x14ac:dyDescent="0.3">
      <c r="A9" s="8"/>
      <c r="B9" s="29"/>
      <c r="C9" s="30" t="s">
        <v>38</v>
      </c>
      <c r="D9" s="9" t="s">
        <v>22</v>
      </c>
      <c r="E9" s="9" t="s">
        <v>44</v>
      </c>
      <c r="F9" s="9" t="s">
        <v>14</v>
      </c>
      <c r="G9" s="12">
        <v>46055</v>
      </c>
      <c r="H9" s="10" t="str">
        <f t="shared" si="0"/>
        <v>Fevereiro</v>
      </c>
      <c r="I9" s="31" t="s">
        <v>35</v>
      </c>
      <c r="J9" s="50">
        <v>4</v>
      </c>
      <c r="K9" s="11">
        <v>25.9</v>
      </c>
      <c r="L9" s="11">
        <f>Tabela5[[#This Row],[Vlr. Unitário]]*Tabela5[[#This Row],[Qtd]]</f>
        <v>103.6</v>
      </c>
      <c r="M9" s="7"/>
    </row>
    <row r="10" spans="1:13" ht="24.6" customHeight="1" thickTop="1" thickBot="1" x14ac:dyDescent="0.3">
      <c r="A10" s="8"/>
      <c r="B10" s="29"/>
      <c r="C10" s="30" t="s">
        <v>38</v>
      </c>
      <c r="D10" s="9" t="s">
        <v>23</v>
      </c>
      <c r="E10" s="9" t="s">
        <v>45</v>
      </c>
      <c r="F10" s="9" t="s">
        <v>14</v>
      </c>
      <c r="G10" s="12">
        <v>46056</v>
      </c>
      <c r="H10" s="12" t="str">
        <f t="shared" si="0"/>
        <v>Fevereiro</v>
      </c>
      <c r="I10" s="31" t="s">
        <v>35</v>
      </c>
      <c r="J10" s="50">
        <v>2</v>
      </c>
      <c r="K10" s="11">
        <v>39.4</v>
      </c>
      <c r="L10" s="11">
        <f>Tabela5[[#This Row],[Vlr. Unitário]]*Tabela5[[#This Row],[Qtd]]</f>
        <v>78.8</v>
      </c>
      <c r="M10" s="7"/>
    </row>
    <row r="11" spans="1:13" ht="24.6" customHeight="1" thickTop="1" thickBot="1" x14ac:dyDescent="0.3">
      <c r="A11" s="8"/>
      <c r="B11" s="29"/>
      <c r="C11" s="30" t="s">
        <v>38</v>
      </c>
      <c r="D11" s="9" t="s">
        <v>24</v>
      </c>
      <c r="E11" s="9" t="s">
        <v>46</v>
      </c>
      <c r="F11" s="9" t="s">
        <v>14</v>
      </c>
      <c r="G11" s="12">
        <v>46057</v>
      </c>
      <c r="H11" s="12" t="str">
        <f t="shared" si="0"/>
        <v>Fevereiro</v>
      </c>
      <c r="I11" s="31" t="s">
        <v>35</v>
      </c>
      <c r="J11" s="50">
        <v>5</v>
      </c>
      <c r="K11" s="11">
        <v>45.9</v>
      </c>
      <c r="L11" s="11">
        <f>Tabela5[[#This Row],[Vlr. Unitário]]*Tabela5[[#This Row],[Qtd]]</f>
        <v>229.5</v>
      </c>
      <c r="M11" s="7"/>
    </row>
    <row r="12" spans="1:13" ht="24.6" customHeight="1" thickTop="1" thickBot="1" x14ac:dyDescent="0.3">
      <c r="A12" s="8"/>
      <c r="B12" s="56"/>
      <c r="C12" s="30" t="s">
        <v>38</v>
      </c>
      <c r="D12" s="9" t="s">
        <v>22</v>
      </c>
      <c r="E12" s="9" t="s">
        <v>46</v>
      </c>
      <c r="F12" s="9" t="s">
        <v>14</v>
      </c>
      <c r="G12" s="12">
        <v>46057</v>
      </c>
      <c r="H12" s="70" t="str">
        <f>PROPER(TEXT(G12,"Mmmm"))</f>
        <v>Fevereiro</v>
      </c>
      <c r="I12" s="31" t="s">
        <v>35</v>
      </c>
      <c r="J12" s="50">
        <v>2</v>
      </c>
      <c r="K12" s="11">
        <v>1</v>
      </c>
      <c r="L12" s="11">
        <f>Tabela5[[#This Row],[Vlr. Unitário]]*Tabela5[[#This Row],[Qtd]]</f>
        <v>2</v>
      </c>
      <c r="M12" s="7"/>
    </row>
    <row r="13" spans="1:13" ht="19.5" thickTop="1" thickBot="1" x14ac:dyDescent="0.3">
      <c r="A13" s="5"/>
      <c r="B13" s="6"/>
      <c r="C13" s="17"/>
      <c r="D13" s="5"/>
      <c r="E13" s="5"/>
      <c r="F13" s="5"/>
      <c r="G13" s="18"/>
      <c r="H13" s="19"/>
      <c r="I13" s="18"/>
      <c r="J13" s="18"/>
      <c r="K13" s="7"/>
      <c r="L13" s="7"/>
      <c r="M13" s="7"/>
    </row>
    <row r="14" spans="1:13" ht="43.5" customHeight="1" thickTop="1" thickBot="1" x14ac:dyDescent="0.3">
      <c r="A14" s="5"/>
      <c r="B14" s="6"/>
      <c r="C14" s="62" t="s">
        <v>123</v>
      </c>
      <c r="D14" s="63" t="s">
        <v>124</v>
      </c>
      <c r="E14" s="62" t="s">
        <v>125</v>
      </c>
      <c r="F14" s="62">
        <f>SUM(Tabela9[[#All],[Produzidas]])</f>
        <v>70</v>
      </c>
      <c r="G14" s="62" t="s">
        <v>127</v>
      </c>
      <c r="H14" s="67">
        <f>SUM(Tabela55[[#All],[Total]])</f>
        <v>335</v>
      </c>
      <c r="I14" s="67"/>
      <c r="J14" s="67"/>
      <c r="K14" s="7" t="s">
        <v>160</v>
      </c>
      <c r="L14" s="7"/>
      <c r="M14" s="7"/>
    </row>
    <row r="15" spans="1:13" ht="19.5" thickTop="1" thickBot="1" x14ac:dyDescent="0.3">
      <c r="A15" s="5"/>
      <c r="B15" s="6"/>
      <c r="C15" s="39" t="s">
        <v>28</v>
      </c>
      <c r="D15" s="39" t="s">
        <v>40</v>
      </c>
      <c r="E15" s="39" t="s">
        <v>12</v>
      </c>
      <c r="F15" s="39" t="s">
        <v>29</v>
      </c>
      <c r="G15" s="39" t="s">
        <v>30</v>
      </c>
      <c r="H15" s="41" t="s">
        <v>126</v>
      </c>
      <c r="I15" s="39" t="s">
        <v>2</v>
      </c>
      <c r="J15" s="39" t="s">
        <v>122</v>
      </c>
      <c r="K15" s="7"/>
      <c r="L15" s="7"/>
      <c r="M15" s="7"/>
    </row>
    <row r="16" spans="1:13" ht="19.5" thickTop="1" thickBot="1" x14ac:dyDescent="0.3">
      <c r="A16" s="5"/>
      <c r="B16" s="29"/>
      <c r="C16" s="30" t="s">
        <v>38</v>
      </c>
      <c r="D16" s="9" t="s">
        <v>3</v>
      </c>
      <c r="E16" s="91">
        <v>46054</v>
      </c>
      <c r="F16" s="92" t="str">
        <f t="shared" ref="F16" si="2">PROPER(TEXT(E16,"Mmmm"))</f>
        <v>Fevereiro</v>
      </c>
      <c r="G16" s="31" t="s">
        <v>73</v>
      </c>
      <c r="H16" s="50">
        <f>Produção!I7</f>
        <v>20</v>
      </c>
      <c r="I16" s="50">
        <f>SUMIFS(Tabela5[Qtd],Tabela5[Vela],Tabela9[[#This Row],[Vela]])</f>
        <v>55</v>
      </c>
      <c r="J16" s="105">
        <f>Tabela9[[#This Row],[Produzidas]]-Tabela9[[#This Row],[Vendas]]</f>
        <v>-35</v>
      </c>
      <c r="K16" s="7"/>
      <c r="L16" s="7"/>
      <c r="M16" s="7"/>
    </row>
    <row r="17" spans="1:13" ht="19.5" thickTop="1" thickBot="1" x14ac:dyDescent="0.3">
      <c r="A17" s="5"/>
      <c r="B17" s="29"/>
      <c r="C17" s="30" t="s">
        <v>38</v>
      </c>
      <c r="D17" s="9" t="s">
        <v>22</v>
      </c>
      <c r="E17" s="91">
        <v>46054</v>
      </c>
      <c r="F17" s="92" t="str">
        <f t="shared" ref="F17:F19" si="3">PROPER(TEXT(E17,"Mmmm"))</f>
        <v>Fevereiro</v>
      </c>
      <c r="G17" s="31" t="s">
        <v>73</v>
      </c>
      <c r="H17" s="50">
        <f>Produção!I8</f>
        <v>10</v>
      </c>
      <c r="I17" s="50">
        <f>SUMIFS(Tabela5[Qtd],Tabela5[Vela],Tabela9[[#This Row],[Vela]])</f>
        <v>6</v>
      </c>
      <c r="J17" s="105">
        <f>Tabela9[[#This Row],[Produzidas]]-Tabela9[[#This Row],[Vendas]]</f>
        <v>4</v>
      </c>
      <c r="K17" s="7"/>
      <c r="L17" s="7"/>
      <c r="M17" s="7"/>
    </row>
    <row r="18" spans="1:13" ht="19.5" thickTop="1" thickBot="1" x14ac:dyDescent="0.3">
      <c r="A18" s="5"/>
      <c r="B18" s="29"/>
      <c r="C18" s="30" t="s">
        <v>38</v>
      </c>
      <c r="D18" s="9" t="s">
        <v>23</v>
      </c>
      <c r="E18" s="91">
        <v>46054</v>
      </c>
      <c r="F18" s="92" t="str">
        <f t="shared" si="3"/>
        <v>Fevereiro</v>
      </c>
      <c r="G18" s="31" t="s">
        <v>73</v>
      </c>
      <c r="H18" s="50">
        <f>Produção!I9</f>
        <v>15</v>
      </c>
      <c r="I18" s="50">
        <f>SUMIFS(Tabela5[Qtd],Tabela5[Vela],Tabela9[[#This Row],[Vela]])</f>
        <v>2</v>
      </c>
      <c r="J18" s="105">
        <f>Tabela9[[#This Row],[Produzidas]]-Tabela9[[#This Row],[Vendas]]</f>
        <v>13</v>
      </c>
      <c r="K18" s="7"/>
      <c r="L18" s="7"/>
      <c r="M18" s="7"/>
    </row>
    <row r="19" spans="1:13" ht="19.5" thickTop="1" thickBot="1" x14ac:dyDescent="0.3">
      <c r="A19" s="5"/>
      <c r="B19" s="29"/>
      <c r="C19" s="30" t="s">
        <v>38</v>
      </c>
      <c r="D19" s="9" t="s">
        <v>24</v>
      </c>
      <c r="E19" s="91">
        <v>46054</v>
      </c>
      <c r="F19" s="92" t="str">
        <f t="shared" si="3"/>
        <v>Fevereiro</v>
      </c>
      <c r="G19" s="31" t="s">
        <v>73</v>
      </c>
      <c r="H19" s="50">
        <f>Produção!I10</f>
        <v>25</v>
      </c>
      <c r="I19" s="50">
        <f>SUMIFS(Tabela5[Qtd],Tabela5[Vela],Tabela9[[#This Row],[Vela]])</f>
        <v>5</v>
      </c>
      <c r="J19" s="105">
        <f>Tabela9[[#This Row],[Produzidas]]-Tabela9[[#This Row],[Vendas]]</f>
        <v>20</v>
      </c>
      <c r="K19" s="7"/>
      <c r="L19" s="7"/>
      <c r="M19" s="7"/>
    </row>
    <row r="20" spans="1:13" ht="19.5" thickTop="1" thickBot="1" x14ac:dyDescent="0.3">
      <c r="A20" s="5"/>
      <c r="B20" s="6"/>
      <c r="C20" s="101"/>
      <c r="D20" s="102"/>
      <c r="E20" s="102"/>
      <c r="F20" s="102"/>
      <c r="G20" s="103"/>
      <c r="H20" s="104"/>
      <c r="I20" s="103"/>
      <c r="J20" s="103"/>
      <c r="K20" s="7"/>
      <c r="L20" s="7"/>
      <c r="M20" s="7"/>
    </row>
    <row r="21" spans="1:13" ht="39" customHeight="1" thickTop="1" thickBot="1" x14ac:dyDescent="0.3">
      <c r="A21" s="5"/>
      <c r="B21" s="6"/>
      <c r="C21" s="62" t="s">
        <v>64</v>
      </c>
      <c r="D21" s="63" t="s">
        <v>61</v>
      </c>
      <c r="E21" s="64"/>
      <c r="F21" s="65"/>
      <c r="G21" s="66" t="s">
        <v>70</v>
      </c>
      <c r="H21" s="67">
        <f>SUM(Tabela7[Total])</f>
        <v>350</v>
      </c>
      <c r="I21" s="67"/>
      <c r="J21" s="7"/>
      <c r="K21" s="7"/>
      <c r="L21" s="7"/>
      <c r="M21" s="7"/>
    </row>
    <row r="22" spans="1:13" ht="30.75" customHeight="1" thickTop="1" thickBot="1" x14ac:dyDescent="0.3">
      <c r="A22" s="5"/>
      <c r="B22" s="6"/>
      <c r="C22" s="39" t="s">
        <v>28</v>
      </c>
      <c r="D22" s="40" t="s">
        <v>40</v>
      </c>
      <c r="E22" s="40" t="s">
        <v>12</v>
      </c>
      <c r="F22" s="40" t="s">
        <v>29</v>
      </c>
      <c r="G22" s="39" t="s">
        <v>30</v>
      </c>
      <c r="H22" s="39" t="s">
        <v>1</v>
      </c>
      <c r="I22" s="40" t="s">
        <v>121</v>
      </c>
      <c r="J22" s="7"/>
      <c r="K22" s="7"/>
      <c r="L22" s="7"/>
      <c r="M22" s="7"/>
    </row>
    <row r="23" spans="1:13" ht="19.5" thickTop="1" thickBot="1" x14ac:dyDescent="0.3">
      <c r="A23" s="5"/>
      <c r="B23" s="29"/>
      <c r="C23" s="30" t="s">
        <v>38</v>
      </c>
      <c r="D23" s="9" t="s">
        <v>7</v>
      </c>
      <c r="E23" s="12">
        <v>46054</v>
      </c>
      <c r="F23" s="10" t="str">
        <f>PROPER(TEXT(E23,"Mmmm"))</f>
        <v>Fevereiro</v>
      </c>
      <c r="G23" s="31" t="s">
        <v>35</v>
      </c>
      <c r="H23" s="11">
        <v>150</v>
      </c>
      <c r="I23" s="90">
        <f>Tabela7[[#This Row],[Total]]/H5</f>
        <v>0.158999364002544</v>
      </c>
      <c r="J23" s="7"/>
      <c r="K23" s="7"/>
      <c r="L23" s="7"/>
      <c r="M23" s="7"/>
    </row>
    <row r="24" spans="1:13" ht="19.5" thickTop="1" thickBot="1" x14ac:dyDescent="0.3">
      <c r="A24" s="5"/>
      <c r="B24" s="29"/>
      <c r="C24" s="30" t="s">
        <v>38</v>
      </c>
      <c r="D24" s="9" t="s">
        <v>6</v>
      </c>
      <c r="E24" s="12">
        <v>46054</v>
      </c>
      <c r="F24" s="10" t="str">
        <f>PROPER(TEXT(E24,"Mmmm"))</f>
        <v>Fevereiro</v>
      </c>
      <c r="G24" s="31" t="s">
        <v>35</v>
      </c>
      <c r="H24" s="11">
        <v>200</v>
      </c>
      <c r="I24" s="90">
        <f>Tabela7[[#This Row],[Total]]/H5</f>
        <v>0.21199915200339201</v>
      </c>
      <c r="J24" s="7"/>
      <c r="K24" s="7"/>
      <c r="L24" s="7"/>
      <c r="M24" s="7"/>
    </row>
    <row r="25" spans="1:13" ht="24.75" thickTop="1" thickBot="1" x14ac:dyDescent="0.3">
      <c r="A25" s="5"/>
      <c r="B25" s="20"/>
      <c r="C25" s="68"/>
      <c r="D25" s="68"/>
      <c r="E25" s="68"/>
      <c r="F25" s="68"/>
      <c r="G25" s="68"/>
      <c r="H25" s="68"/>
      <c r="I25" s="68"/>
      <c r="J25" s="20"/>
      <c r="K25" s="20"/>
      <c r="L25" s="20"/>
      <c r="M25" s="7"/>
    </row>
    <row r="26" spans="1:13" ht="36.75" customHeight="1" thickTop="1" thickBot="1" x14ac:dyDescent="0.3">
      <c r="A26" s="5"/>
      <c r="B26" s="20"/>
      <c r="C26" s="62" t="s">
        <v>63</v>
      </c>
      <c r="D26" s="63" t="s">
        <v>130</v>
      </c>
      <c r="E26" s="62"/>
      <c r="F26" s="62"/>
      <c r="G26" s="62" t="s">
        <v>134</v>
      </c>
      <c r="H26" s="112">
        <f>Tabela111[Imposto]</f>
        <v>86</v>
      </c>
      <c r="I26" s="68"/>
      <c r="J26" s="20"/>
      <c r="K26" s="20"/>
      <c r="L26" s="20"/>
      <c r="M26" s="7"/>
    </row>
    <row r="27" spans="1:13" ht="24.75" thickTop="1" thickBot="1" x14ac:dyDescent="0.3">
      <c r="A27" s="5"/>
      <c r="B27" s="20"/>
      <c r="C27" s="39" t="s">
        <v>95</v>
      </c>
      <c r="D27" s="39" t="s">
        <v>135</v>
      </c>
      <c r="E27" s="39" t="s">
        <v>29</v>
      </c>
      <c r="F27" s="39" t="s">
        <v>0</v>
      </c>
      <c r="G27" s="39" t="s">
        <v>136</v>
      </c>
      <c r="H27" s="39" t="s">
        <v>1</v>
      </c>
      <c r="I27" s="68"/>
      <c r="J27" s="20"/>
      <c r="K27" s="20"/>
      <c r="L27" s="20"/>
      <c r="M27" s="7"/>
    </row>
    <row r="28" spans="1:13" ht="31.5" thickTop="1" thickBot="1" x14ac:dyDescent="0.3">
      <c r="A28" s="5"/>
      <c r="B28" s="20"/>
      <c r="C28" s="13" t="s">
        <v>137</v>
      </c>
      <c r="D28" s="109" t="s">
        <v>138</v>
      </c>
      <c r="E28" s="93">
        <v>46054</v>
      </c>
      <c r="F28" s="110">
        <v>123.9</v>
      </c>
      <c r="G28" s="110">
        <v>86</v>
      </c>
      <c r="H28" s="111">
        <f>Tabela111[Faturamento]-Tabela111[Imposto]</f>
        <v>37.900000000000006</v>
      </c>
      <c r="I28" s="68"/>
      <c r="J28" s="20"/>
      <c r="K28" s="20"/>
      <c r="L28" s="20"/>
      <c r="M28" s="7"/>
    </row>
    <row r="29" spans="1:13" ht="24.75" thickTop="1" thickBot="1" x14ac:dyDescent="0.3">
      <c r="A29" s="5"/>
      <c r="B29" s="20"/>
      <c r="C29" s="108"/>
      <c r="D29" s="108"/>
      <c r="E29" s="108"/>
      <c r="F29" s="108"/>
      <c r="G29" s="68"/>
      <c r="H29" s="68"/>
      <c r="I29" s="68"/>
      <c r="J29" s="20"/>
      <c r="K29" s="20"/>
      <c r="L29" s="20"/>
      <c r="M29" s="7"/>
    </row>
    <row r="30" spans="1:13" ht="40.5" customHeight="1" thickTop="1" thickBot="1" x14ac:dyDescent="0.3">
      <c r="A30" s="5"/>
      <c r="B30" s="6"/>
      <c r="C30" s="62" t="s">
        <v>63</v>
      </c>
      <c r="D30" s="63" t="s">
        <v>59</v>
      </c>
      <c r="E30" s="62" t="s">
        <v>65</v>
      </c>
      <c r="F30" s="95">
        <f>SUM(F32,F33)-F35-F34</f>
        <v>2507.4</v>
      </c>
      <c r="G30" s="7"/>
      <c r="H30" s="7"/>
      <c r="I30" s="7"/>
      <c r="J30" s="7"/>
      <c r="K30" s="7"/>
      <c r="L30" s="7"/>
      <c r="M30" s="7"/>
    </row>
    <row r="31" spans="1:13" s="87" customFormat="1" ht="27.75" customHeight="1" thickTop="1" thickBot="1" x14ac:dyDescent="0.3">
      <c r="A31" s="18"/>
      <c r="B31" s="6"/>
      <c r="C31" s="39" t="s">
        <v>95</v>
      </c>
      <c r="D31" s="39" t="s">
        <v>12</v>
      </c>
      <c r="E31" s="39" t="s">
        <v>29</v>
      </c>
      <c r="F31" s="39" t="s">
        <v>1</v>
      </c>
      <c r="G31" s="8"/>
      <c r="H31" s="8"/>
      <c r="I31" s="8"/>
      <c r="J31" s="8"/>
      <c r="K31" s="8"/>
      <c r="L31" s="8"/>
      <c r="M31" s="8"/>
    </row>
    <row r="32" spans="1:13" ht="19.5" thickTop="1" thickBot="1" x14ac:dyDescent="0.3">
      <c r="A32" s="5"/>
      <c r="B32" s="5"/>
      <c r="C32" s="9" t="s">
        <v>66</v>
      </c>
      <c r="D32" s="91">
        <v>46054</v>
      </c>
      <c r="E32" s="92" t="str">
        <f t="shared" ref="E32" si="4">PROPER(TEXT(D32,"Mmmm"))</f>
        <v>Fevereiro</v>
      </c>
      <c r="F32" s="11">
        <v>2000</v>
      </c>
      <c r="G32" s="7"/>
      <c r="H32" s="7"/>
      <c r="I32" s="7"/>
      <c r="J32" s="7"/>
      <c r="K32" s="7"/>
      <c r="L32" s="7"/>
      <c r="M32" s="7"/>
    </row>
    <row r="33" spans="1:13" ht="19.5" thickTop="1" thickBot="1" x14ac:dyDescent="0.3">
      <c r="A33" s="5"/>
      <c r="B33" s="5"/>
      <c r="C33" s="9" t="s">
        <v>2</v>
      </c>
      <c r="D33" s="91">
        <v>46054</v>
      </c>
      <c r="E33" s="92" t="str">
        <f t="shared" ref="E33" si="5">PROPER(TEXT(D33,"Mmmm"))</f>
        <v>Fevereiro</v>
      </c>
      <c r="F33" s="11">
        <f>H5</f>
        <v>943.4</v>
      </c>
      <c r="G33" s="7"/>
      <c r="H33" s="7"/>
      <c r="I33" s="7"/>
      <c r="J33" s="7"/>
      <c r="K33" s="7"/>
      <c r="L33" s="7"/>
      <c r="M33" s="7"/>
    </row>
    <row r="34" spans="1:13" ht="19.5" thickTop="1" thickBot="1" x14ac:dyDescent="0.3">
      <c r="A34" s="5"/>
      <c r="B34" s="5"/>
      <c r="C34" s="13" t="s">
        <v>130</v>
      </c>
      <c r="D34" s="91">
        <v>46054</v>
      </c>
      <c r="E34" s="92" t="str">
        <f>PROPER(TEXT(D34,"Mmmm"))</f>
        <v>Fevereiro</v>
      </c>
      <c r="F34" s="16">
        <f>H26</f>
        <v>86</v>
      </c>
      <c r="G34" s="7"/>
      <c r="H34" s="7"/>
      <c r="I34" s="7"/>
      <c r="J34" s="7"/>
      <c r="K34" s="7"/>
      <c r="L34" s="7"/>
      <c r="M34" s="7"/>
    </row>
    <row r="35" spans="1:13" ht="19.5" thickTop="1" thickBot="1" x14ac:dyDescent="0.3">
      <c r="A35" s="5"/>
      <c r="B35" s="5"/>
      <c r="C35" s="13" t="s">
        <v>61</v>
      </c>
      <c r="D35" s="91">
        <v>46054</v>
      </c>
      <c r="E35" s="92" t="str">
        <f t="shared" ref="E35" si="6">PROPER(TEXT(D35,"Mmmm"))</f>
        <v>Fevereiro</v>
      </c>
      <c r="F35" s="16">
        <f>H21</f>
        <v>350</v>
      </c>
      <c r="G35" s="7"/>
      <c r="H35" s="7"/>
      <c r="I35" s="7"/>
      <c r="J35" s="7"/>
      <c r="K35" s="7"/>
      <c r="L35" s="7"/>
      <c r="M35" s="7"/>
    </row>
    <row r="36" spans="1:13" ht="19.5" thickTop="1" thickBot="1" x14ac:dyDescent="0.3">
      <c r="A36" s="5"/>
      <c r="B36" s="5"/>
      <c r="C36" s="13" t="s">
        <v>133</v>
      </c>
      <c r="D36" s="91">
        <v>46054</v>
      </c>
      <c r="E36" s="93" t="str">
        <f>PROPER(TEXT(D36,"Mmmm"))</f>
        <v>Fevereiro</v>
      </c>
      <c r="F36" s="16">
        <f>F32+F33-F35-F34</f>
        <v>2507.4</v>
      </c>
      <c r="G36" s="85"/>
      <c r="H36" s="7" t="s">
        <v>110</v>
      </c>
      <c r="I36" s="7"/>
      <c r="J36" s="7"/>
      <c r="K36" s="7"/>
      <c r="L36" s="7"/>
      <c r="M36" s="7"/>
    </row>
    <row r="37" spans="1:13" ht="19.5" thickTop="1" thickBot="1" x14ac:dyDescent="0.3">
      <c r="A37" s="5"/>
      <c r="B37" s="5"/>
      <c r="C37" s="13" t="s">
        <v>108</v>
      </c>
      <c r="D37" s="94">
        <v>46054</v>
      </c>
      <c r="E37" s="93" t="str">
        <f>PROPER(TEXT(D37,"Mmmm"))</f>
        <v>Fevereiro</v>
      </c>
      <c r="F37" s="16">
        <f>F36-F35</f>
        <v>2157.4</v>
      </c>
      <c r="G37" s="85"/>
      <c r="H37" s="7" t="s">
        <v>111</v>
      </c>
      <c r="I37" s="7"/>
      <c r="J37" s="7"/>
      <c r="K37" s="7"/>
      <c r="L37" s="7"/>
      <c r="M37" s="7"/>
    </row>
    <row r="38" spans="1:13" ht="19.5" thickTop="1" thickBot="1" x14ac:dyDescent="0.3">
      <c r="A38" s="5"/>
      <c r="B38" s="5"/>
      <c r="C38" s="13" t="s">
        <v>109</v>
      </c>
      <c r="D38" s="94">
        <v>46054</v>
      </c>
      <c r="E38" s="93" t="str">
        <f>PROPER(TEXT(D38,"Mmmm"))</f>
        <v>Fevereiro</v>
      </c>
      <c r="F38" s="86">
        <f>F37/F36</f>
        <v>0.86041317699609154</v>
      </c>
      <c r="G38" s="85"/>
      <c r="H38" s="7" t="s">
        <v>112</v>
      </c>
      <c r="I38" s="7"/>
      <c r="J38" s="7"/>
      <c r="K38" s="7"/>
      <c r="L38" s="7"/>
      <c r="M38" s="7"/>
    </row>
    <row r="39" spans="1:13" ht="19.5" thickTop="1" thickBot="1" x14ac:dyDescent="0.3">
      <c r="A39" s="5"/>
      <c r="B39" s="5"/>
      <c r="C39" s="69"/>
      <c r="D39" s="69"/>
      <c r="E39" s="69"/>
      <c r="F39" s="69"/>
      <c r="G39" s="69"/>
      <c r="H39" s="5"/>
      <c r="I39" s="5"/>
      <c r="J39" s="5"/>
      <c r="K39" s="5"/>
      <c r="L39" s="7"/>
      <c r="M39" s="7"/>
    </row>
    <row r="40" spans="1:13" ht="30.75" customHeight="1" thickTop="1" thickBot="1" x14ac:dyDescent="0.3">
      <c r="A40" s="5"/>
      <c r="B40" s="5"/>
      <c r="C40" s="62" t="s">
        <v>63</v>
      </c>
      <c r="D40" s="63" t="s">
        <v>139</v>
      </c>
      <c r="E40" s="62"/>
      <c r="F40" s="63"/>
      <c r="G40" s="62"/>
      <c r="H40" s="63"/>
      <c r="I40" s="62"/>
      <c r="J40" s="63"/>
      <c r="K40" s="62"/>
      <c r="L40" s="7"/>
      <c r="M40" s="7"/>
    </row>
    <row r="41" spans="1:13" ht="36.75" customHeight="1" thickTop="1" thickBot="1" x14ac:dyDescent="0.3">
      <c r="A41" s="5"/>
      <c r="B41" s="5"/>
      <c r="C41" s="117" t="s">
        <v>76</v>
      </c>
      <c r="D41" s="117" t="s">
        <v>140</v>
      </c>
      <c r="E41" s="117" t="s">
        <v>141</v>
      </c>
      <c r="F41" s="117" t="s">
        <v>142</v>
      </c>
      <c r="G41" s="117" t="s">
        <v>109</v>
      </c>
      <c r="H41" s="117" t="s">
        <v>1</v>
      </c>
      <c r="I41" s="117" t="s">
        <v>143</v>
      </c>
      <c r="J41" s="117" t="s">
        <v>144</v>
      </c>
      <c r="K41" s="117" t="s">
        <v>145</v>
      </c>
      <c r="L41" s="7"/>
      <c r="M41" s="7"/>
    </row>
    <row r="42" spans="1:13" ht="19.5" thickTop="1" thickBot="1" x14ac:dyDescent="0.3">
      <c r="A42" s="5"/>
      <c r="B42" s="5"/>
      <c r="C42" s="9" t="s">
        <v>3</v>
      </c>
      <c r="D42" s="113">
        <f>SUM(Produção!I12,Produção!K20,Produção!K14)</f>
        <v>9.0714285714285712</v>
      </c>
      <c r="E42" s="114">
        <f>SUM($H$26/$H$5)</f>
        <v>9.115963536145856E-2</v>
      </c>
      <c r="F42" s="114">
        <f>SUM($H$23,$H$24)/$H$5</f>
        <v>0.37099851600593597</v>
      </c>
      <c r="G42" s="115">
        <v>0.2</v>
      </c>
      <c r="H42" s="115">
        <f>SUM(E42:G42)</f>
        <v>0.66215815136739453</v>
      </c>
      <c r="I42" s="116">
        <f>1/1-H42</f>
        <v>0.33784184863260547</v>
      </c>
      <c r="J42" s="116">
        <f>1/I42</f>
        <v>2.959964859437751</v>
      </c>
      <c r="K42" s="116">
        <f>J42*D42</f>
        <v>26.851109796328171</v>
      </c>
      <c r="L42" s="7"/>
      <c r="M42" s="7"/>
    </row>
    <row r="43" spans="1:13" ht="19.5" thickTop="1" thickBot="1" x14ac:dyDescent="0.3">
      <c r="A43" s="5"/>
      <c r="B43" s="5"/>
      <c r="C43" s="9" t="s">
        <v>22</v>
      </c>
      <c r="D43" s="113">
        <f>SUM(Produção!K15,Produção!$I$12,Produção!$K$20)</f>
        <v>11.171428571428571</v>
      </c>
      <c r="E43" s="114">
        <f t="shared" ref="E43:E45" si="7">SUM($H$26/$H$5)</f>
        <v>9.115963536145856E-2</v>
      </c>
      <c r="F43" s="114">
        <f>SUM($H$23,$H$24)/$H$5</f>
        <v>0.37099851600593597</v>
      </c>
      <c r="G43" s="115">
        <v>0.2</v>
      </c>
      <c r="H43" s="115">
        <f t="shared" ref="H43:H45" si="8">SUM(E43:G43)</f>
        <v>0.66215815136739453</v>
      </c>
      <c r="I43" s="116">
        <f t="shared" ref="I43:I45" si="9">1/1-H43</f>
        <v>0.33784184863260547</v>
      </c>
      <c r="J43" s="116">
        <f t="shared" ref="J43:J45" si="10">1/I43</f>
        <v>2.959964859437751</v>
      </c>
      <c r="K43" s="116">
        <f t="shared" ref="K43:K45" si="11">J43*D43</f>
        <v>33.067036001147443</v>
      </c>
      <c r="L43" s="7"/>
      <c r="M43" s="7"/>
    </row>
    <row r="44" spans="1:13" ht="19.5" thickTop="1" thickBot="1" x14ac:dyDescent="0.3">
      <c r="A44" s="5"/>
      <c r="B44" s="5"/>
      <c r="C44" s="9" t="s">
        <v>24</v>
      </c>
      <c r="D44" s="113">
        <f>SUM(Produção!K16,Produção!$I$12,Produção!$K$20)</f>
        <v>14.071428571428571</v>
      </c>
      <c r="E44" s="114">
        <f t="shared" si="7"/>
        <v>9.115963536145856E-2</v>
      </c>
      <c r="F44" s="114">
        <f>SUM($H$23,$H$24)/$H$5</f>
        <v>0.37099851600593597</v>
      </c>
      <c r="G44" s="115">
        <v>0.2</v>
      </c>
      <c r="H44" s="115">
        <f t="shared" si="8"/>
        <v>0.66215815136739453</v>
      </c>
      <c r="I44" s="116">
        <f t="shared" si="9"/>
        <v>0.33784184863260547</v>
      </c>
      <c r="J44" s="116">
        <f t="shared" si="10"/>
        <v>2.959964859437751</v>
      </c>
      <c r="K44" s="116">
        <f t="shared" si="11"/>
        <v>41.650934093516923</v>
      </c>
      <c r="L44" s="7"/>
      <c r="M44" s="7"/>
    </row>
    <row r="45" spans="1:13" ht="19.5" thickTop="1" thickBot="1" x14ac:dyDescent="0.3">
      <c r="A45" s="5"/>
      <c r="B45" s="5"/>
      <c r="C45" s="9" t="s">
        <v>23</v>
      </c>
      <c r="D45" s="113">
        <f>SUM(Produção!K17,Produção!$I$12,Produção!$K$20)</f>
        <v>16.071428571428569</v>
      </c>
      <c r="E45" s="114">
        <f t="shared" si="7"/>
        <v>9.115963536145856E-2</v>
      </c>
      <c r="F45" s="114">
        <f>SUM($H$23,$H$24)/$H$5</f>
        <v>0.37099851600593597</v>
      </c>
      <c r="G45" s="115">
        <v>0.2</v>
      </c>
      <c r="H45" s="115">
        <f t="shared" si="8"/>
        <v>0.66215815136739453</v>
      </c>
      <c r="I45" s="116">
        <f t="shared" si="9"/>
        <v>0.33784184863260547</v>
      </c>
      <c r="J45" s="116">
        <f t="shared" si="10"/>
        <v>2.959964859437751</v>
      </c>
      <c r="K45" s="116">
        <f t="shared" si="11"/>
        <v>47.570863812392417</v>
      </c>
      <c r="L45" s="7"/>
      <c r="M45" s="7"/>
    </row>
    <row r="46" spans="1:13" ht="19.5" thickTop="1" thickBot="1" x14ac:dyDescent="0.3">
      <c r="A46" s="5"/>
      <c r="B46" s="5"/>
      <c r="C46" s="69"/>
      <c r="D46" s="69"/>
      <c r="E46" s="69"/>
      <c r="F46" s="69"/>
      <c r="G46" s="69"/>
      <c r="H46" s="5"/>
      <c r="I46" s="5"/>
      <c r="J46" s="5"/>
      <c r="K46" s="5"/>
      <c r="L46" s="7"/>
      <c r="M46" s="7"/>
    </row>
    <row r="47" spans="1:13" ht="41.25" customHeight="1" thickTop="1" thickBot="1" x14ac:dyDescent="0.3">
      <c r="A47" s="20"/>
      <c r="B47" s="21"/>
      <c r="C47" s="51" t="s">
        <v>37</v>
      </c>
      <c r="D47" s="52" t="s">
        <v>71</v>
      </c>
      <c r="E47" s="88" t="s">
        <v>78</v>
      </c>
      <c r="F47" s="53"/>
      <c r="G47" s="51"/>
      <c r="H47" s="51"/>
      <c r="I47" s="51"/>
      <c r="J47" s="51"/>
      <c r="K47" s="51"/>
      <c r="L47" s="7"/>
      <c r="M47" s="7"/>
    </row>
    <row r="48" spans="1:13" ht="16.5" thickTop="1" thickBot="1" x14ac:dyDescent="0.3">
      <c r="A48" s="22"/>
      <c r="B48" s="22"/>
      <c r="C48" s="22"/>
      <c r="D48" s="22"/>
      <c r="E48" s="22"/>
      <c r="F48" s="22"/>
      <c r="G48" s="23"/>
      <c r="H48" s="23"/>
      <c r="I48" s="23"/>
      <c r="J48" s="24"/>
      <c r="K48" s="7"/>
      <c r="L48" s="7"/>
      <c r="M48" s="7"/>
    </row>
    <row r="49" spans="1:13" ht="16.5" thickTop="1" thickBot="1" x14ac:dyDescent="0.3">
      <c r="L49" s="7"/>
      <c r="M49" s="7"/>
    </row>
    <row r="50" spans="1:13" ht="16.5" thickTop="1" thickBot="1" x14ac:dyDescent="0.3">
      <c r="L50" s="7"/>
      <c r="M50" s="7"/>
    </row>
    <row r="51" spans="1:13" ht="16.5" thickTop="1" thickBot="1" x14ac:dyDescent="0.3">
      <c r="A51" s="25"/>
      <c r="B51" s="25"/>
      <c r="C51" s="26"/>
      <c r="D51" s="25"/>
      <c r="E51" s="25"/>
      <c r="F51" s="27"/>
      <c r="G51" s="26"/>
      <c r="H51" s="25"/>
      <c r="I51" s="25"/>
      <c r="J51" s="28"/>
      <c r="K51" s="25"/>
      <c r="L51" s="7"/>
      <c r="M51" s="7"/>
    </row>
    <row r="52" spans="1:13" ht="16.5" thickTop="1" thickBot="1" x14ac:dyDescent="0.3">
      <c r="A52" s="25"/>
      <c r="B52" s="25"/>
      <c r="C52" s="26" t="s">
        <v>33</v>
      </c>
      <c r="D52" s="25"/>
      <c r="E52" s="25"/>
      <c r="F52" s="27"/>
      <c r="G52" s="26" t="s">
        <v>30</v>
      </c>
      <c r="H52" s="25"/>
      <c r="I52" s="25"/>
      <c r="J52" s="28"/>
      <c r="K52" s="25"/>
      <c r="L52" s="7"/>
      <c r="M52" s="7"/>
    </row>
    <row r="53" spans="1:13" ht="16.5" thickTop="1" thickBot="1" x14ac:dyDescent="0.3">
      <c r="A53" s="25"/>
      <c r="B53" s="29"/>
      <c r="C53" s="57" t="s">
        <v>164</v>
      </c>
      <c r="D53" s="25"/>
      <c r="E53" s="25"/>
      <c r="F53" s="27"/>
      <c r="G53" s="31" t="s">
        <v>73</v>
      </c>
      <c r="H53" s="25"/>
      <c r="I53" s="25"/>
      <c r="J53" s="32"/>
      <c r="K53" s="25"/>
      <c r="L53" s="7"/>
      <c r="M53" s="7"/>
    </row>
    <row r="54" spans="1:13" ht="16.5" thickTop="1" thickBot="1" x14ac:dyDescent="0.3">
      <c r="A54" s="25"/>
      <c r="B54" s="29"/>
      <c r="C54" s="57" t="s">
        <v>38</v>
      </c>
      <c r="D54" s="25"/>
      <c r="E54" s="25"/>
      <c r="F54" s="27"/>
      <c r="G54" s="31" t="s">
        <v>74</v>
      </c>
      <c r="H54" s="25"/>
      <c r="I54" s="25"/>
      <c r="J54" s="25"/>
      <c r="K54" s="25"/>
      <c r="L54" s="7"/>
      <c r="M54" s="7"/>
    </row>
    <row r="55" spans="1:13" ht="16.5" thickTop="1" thickBot="1" x14ac:dyDescent="0.3">
      <c r="A55" s="25"/>
      <c r="B55" s="29"/>
      <c r="C55" s="57" t="s">
        <v>163</v>
      </c>
      <c r="D55" s="25"/>
      <c r="E55" s="25"/>
      <c r="F55" s="25"/>
      <c r="G55" s="31" t="s">
        <v>35</v>
      </c>
      <c r="H55" s="25"/>
      <c r="I55" s="25"/>
      <c r="J55" s="25"/>
      <c r="K55" s="25"/>
      <c r="L55" s="7"/>
      <c r="M55" s="7"/>
    </row>
    <row r="56" spans="1:13" ht="16.5" thickTop="1" thickBot="1" x14ac:dyDescent="0.3">
      <c r="A56" s="25"/>
      <c r="B56" s="29"/>
      <c r="C56" s="57" t="s">
        <v>48</v>
      </c>
      <c r="D56" s="25"/>
      <c r="E56" s="25"/>
      <c r="F56" s="25"/>
      <c r="G56" s="25"/>
      <c r="H56" s="25"/>
      <c r="I56" s="25"/>
      <c r="J56" s="25"/>
      <c r="K56" s="34"/>
      <c r="L56" s="7"/>
      <c r="M56" s="7"/>
    </row>
    <row r="57" spans="1:13" ht="16.5" thickTop="1" thickBot="1" x14ac:dyDescent="0.3">
      <c r="A57" s="26"/>
      <c r="B57" s="29"/>
      <c r="C57" s="57" t="s">
        <v>49</v>
      </c>
      <c r="D57" s="25"/>
      <c r="E57" s="25"/>
      <c r="F57" s="25"/>
      <c r="G57" s="33"/>
      <c r="H57" s="33"/>
      <c r="I57" s="33"/>
      <c r="J57" s="33"/>
      <c r="K57" s="34"/>
      <c r="L57" s="7"/>
      <c r="M57" s="7"/>
    </row>
    <row r="58" spans="1:13" ht="16.5" thickTop="1" thickBot="1" x14ac:dyDescent="0.3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7"/>
      <c r="M58" s="7"/>
    </row>
    <row r="59" spans="1:13" ht="15.75" thickTop="1" x14ac:dyDescent="0.25"/>
  </sheetData>
  <mergeCells count="4">
    <mergeCell ref="A1:B3"/>
    <mergeCell ref="C1:D3"/>
    <mergeCell ref="E1:F3"/>
    <mergeCell ref="G1:H3"/>
  </mergeCells>
  <conditionalFormatting sqref="A1 C1 A4:B4 C4:C6 C47:C48">
    <cfRule type="cellIs" dxfId="278" priority="385" operator="equal">
      <formula>#REF!</formula>
    </cfRule>
  </conditionalFormatting>
  <conditionalFormatting sqref="A4:C4 C47:C48">
    <cfRule type="cellIs" dxfId="277" priority="392" operator="equal">
      <formula>#REF!</formula>
    </cfRule>
    <cfRule type="cellIs" dxfId="276" priority="393" operator="equal">
      <formula>#REF!</formula>
    </cfRule>
    <cfRule type="cellIs" dxfId="275" priority="394" operator="equal">
      <formula>#REF!</formula>
    </cfRule>
    <cfRule type="cellIs" dxfId="274" priority="395" operator="equal">
      <formula>#REF!</formula>
    </cfRule>
  </conditionalFormatting>
  <conditionalFormatting sqref="B4:B6 B13:B15 B47:B48">
    <cfRule type="expression" dxfId="273" priority="417">
      <formula>(C4=#REF!)</formula>
    </cfRule>
    <cfRule type="expression" dxfId="272" priority="418">
      <formula>(C4=#REF!)</formula>
    </cfRule>
    <cfRule type="expression" dxfId="271" priority="419">
      <formula>(C4=#REF!)</formula>
    </cfRule>
    <cfRule type="expression" dxfId="270" priority="420">
      <formula>(C4=#REF!)</formula>
    </cfRule>
    <cfRule type="expression" dxfId="269" priority="421">
      <formula>(C4=#REF!)</formula>
    </cfRule>
  </conditionalFormatting>
  <conditionalFormatting sqref="B7:B12 B51:B57 B23:B24">
    <cfRule type="expression" dxfId="268" priority="16">
      <formula>(C7=$C$53)</formula>
    </cfRule>
    <cfRule type="expression" dxfId="267" priority="17">
      <formula>(C7=$C$54)</formula>
    </cfRule>
    <cfRule type="expression" dxfId="266" priority="18">
      <formula>(C7=$C$55)</formula>
    </cfRule>
    <cfRule type="expression" dxfId="265" priority="19">
      <formula>(C7=$C$56)</formula>
    </cfRule>
    <cfRule type="expression" dxfId="264" priority="20">
      <formula>(C7=$C$57)</formula>
    </cfRule>
  </conditionalFormatting>
  <conditionalFormatting sqref="B16:B19">
    <cfRule type="expression" dxfId="263" priority="26">
      <formula>(C16=$C$53)</formula>
    </cfRule>
    <cfRule type="expression" dxfId="262" priority="27">
      <formula>(C16=$C$54)</formula>
    </cfRule>
    <cfRule type="expression" dxfId="261" priority="28">
      <formula>(C16=$C$55)</formula>
    </cfRule>
    <cfRule type="expression" dxfId="260" priority="29">
      <formula>(C16=$C$56)</formula>
    </cfRule>
    <cfRule type="expression" dxfId="259" priority="30">
      <formula>(C16=$C$57)</formula>
    </cfRule>
  </conditionalFormatting>
  <conditionalFormatting sqref="B20:B22">
    <cfRule type="expression" dxfId="258" priority="220">
      <formula>(C20=#REF!)</formula>
    </cfRule>
    <cfRule type="expression" dxfId="257" priority="221">
      <formula>(C20=#REF!)</formula>
    </cfRule>
    <cfRule type="expression" dxfId="256" priority="222">
      <formula>(C20=#REF!)</formula>
    </cfRule>
    <cfRule type="expression" dxfId="255" priority="223">
      <formula>(C20=#REF!)</formula>
    </cfRule>
    <cfRule type="expression" dxfId="254" priority="224">
      <formula>(C20=#REF!)</formula>
    </cfRule>
  </conditionalFormatting>
  <conditionalFormatting sqref="B30">
    <cfRule type="expression" dxfId="253" priority="198">
      <formula>(C30=#REF!)</formula>
    </cfRule>
    <cfRule type="expression" dxfId="252" priority="199">
      <formula>(C30=#REF!)</formula>
    </cfRule>
    <cfRule type="expression" dxfId="251" priority="200">
      <formula>(C30=#REF!)</formula>
    </cfRule>
    <cfRule type="expression" dxfId="250" priority="201">
      <formula>(C30=#REF!)</formula>
    </cfRule>
    <cfRule type="expression" dxfId="249" priority="202">
      <formula>(C30=#REF!)</formula>
    </cfRule>
  </conditionalFormatting>
  <conditionalFormatting sqref="B31">
    <cfRule type="expression" dxfId="248" priority="427">
      <formula>(#REF!=#REF!)</formula>
    </cfRule>
    <cfRule type="expression" dxfId="247" priority="428">
      <formula>(#REF!=#REF!)</formula>
    </cfRule>
    <cfRule type="expression" dxfId="246" priority="429">
      <formula>(#REF!=#REF!)</formula>
    </cfRule>
    <cfRule type="expression" dxfId="245" priority="430">
      <formula>(#REF!=#REF!)</formula>
    </cfRule>
    <cfRule type="expression" dxfId="244" priority="431">
      <formula>(#REF!=#REF!)</formula>
    </cfRule>
  </conditionalFormatting>
  <conditionalFormatting sqref="C23:C24 C7:C12">
    <cfRule type="cellIs" dxfId="243" priority="11" operator="equal">
      <formula>$C$53</formula>
    </cfRule>
    <cfRule type="cellIs" dxfId="242" priority="12" operator="equal">
      <formula>$C$54</formula>
    </cfRule>
    <cfRule type="cellIs" dxfId="241" priority="13" operator="equal">
      <formula>$C$55</formula>
    </cfRule>
    <cfRule type="cellIs" dxfId="240" priority="14" operator="equal">
      <formula>$C$56</formula>
    </cfRule>
    <cfRule type="cellIs" dxfId="239" priority="15" operator="equal">
      <formula>$C$57</formula>
    </cfRule>
  </conditionalFormatting>
  <conditionalFormatting sqref="C13:C15">
    <cfRule type="cellIs" dxfId="238" priority="108" operator="equal">
      <formula>#REF!</formula>
    </cfRule>
  </conditionalFormatting>
  <conditionalFormatting sqref="C16:C19">
    <cfRule type="cellIs" dxfId="237" priority="21" operator="equal">
      <formula>$C$53</formula>
    </cfRule>
    <cfRule type="cellIs" dxfId="236" priority="22" operator="equal">
      <formula>$C$54</formula>
    </cfRule>
    <cfRule type="cellIs" dxfId="235" priority="23" operator="equal">
      <formula>$C$55</formula>
    </cfRule>
    <cfRule type="cellIs" dxfId="234" priority="24" operator="equal">
      <formula>$C$56</formula>
    </cfRule>
    <cfRule type="cellIs" dxfId="233" priority="25" operator="equal">
      <formula>$C$57</formula>
    </cfRule>
  </conditionalFormatting>
  <conditionalFormatting sqref="C20:C22">
    <cfRule type="cellIs" dxfId="232" priority="216" operator="equal">
      <formula>#REF!</formula>
    </cfRule>
  </conditionalFormatting>
  <conditionalFormatting sqref="C26 E26:H26">
    <cfRule type="cellIs" dxfId="231" priority="6" operator="equal">
      <formula>#REF!</formula>
    </cfRule>
  </conditionalFormatting>
  <conditionalFormatting sqref="C30">
    <cfRule type="cellIs" dxfId="230" priority="194" operator="equal">
      <formula>#REF!</formula>
    </cfRule>
  </conditionalFormatting>
  <conditionalFormatting sqref="C40 E40 G40 I40 K40">
    <cfRule type="cellIs" dxfId="229" priority="1" operator="equal">
      <formula>#REF!</formula>
    </cfRule>
  </conditionalFormatting>
  <conditionalFormatting sqref="C51:C57 G51:G52 J51:J53">
    <cfRule type="cellIs" dxfId="228" priority="306" operator="equal">
      <formula>$C$57</formula>
    </cfRule>
  </conditionalFormatting>
  <conditionalFormatting sqref="C57">
    <cfRule type="notContainsBlanks" dxfId="227" priority="305">
      <formula>LEN(TRIM(C57))&gt;0</formula>
    </cfRule>
  </conditionalFormatting>
  <conditionalFormatting sqref="G4 I6 G13 G47:G48">
    <cfRule type="cellIs" dxfId="226" priority="408" operator="equal">
      <formula>#REF!</formula>
    </cfRule>
    <cfRule type="cellIs" dxfId="225" priority="409" operator="equal">
      <formula>#REF!</formula>
    </cfRule>
    <cfRule type="cellIs" dxfId="224" priority="414" operator="equal">
      <formula>#REF!</formula>
    </cfRule>
  </conditionalFormatting>
  <conditionalFormatting sqref="G15">
    <cfRule type="cellIs" dxfId="223" priority="109" operator="equal">
      <formula>#REF!</formula>
    </cfRule>
    <cfRule type="cellIs" dxfId="222" priority="110" operator="equal">
      <formula>#REF!</formula>
    </cfRule>
    <cfRule type="cellIs" dxfId="221" priority="111" operator="equal">
      <formula>#REF!</formula>
    </cfRule>
  </conditionalFormatting>
  <conditionalFormatting sqref="G16:G19 G23:G24">
    <cfRule type="cellIs" dxfId="220" priority="61" operator="equal">
      <formula>$G$55</formula>
    </cfRule>
    <cfRule type="cellIs" dxfId="219" priority="62" operator="equal">
      <formula>$G$54</formula>
    </cfRule>
    <cfRule type="cellIs" dxfId="218" priority="63" operator="equal">
      <formula>$G$53</formula>
    </cfRule>
  </conditionalFormatting>
  <conditionalFormatting sqref="G20:G22">
    <cfRule type="cellIs" dxfId="217" priority="217" operator="equal">
      <formula>#REF!</formula>
    </cfRule>
    <cfRule type="cellIs" dxfId="216" priority="218" operator="equal">
      <formula>#REF!</formula>
    </cfRule>
    <cfRule type="cellIs" dxfId="215" priority="219" operator="equal">
      <formula>#REF!</formula>
    </cfRule>
  </conditionalFormatting>
  <conditionalFormatting sqref="G51:G52 C51:C57">
    <cfRule type="cellIs" dxfId="214" priority="301" operator="equal">
      <formula>$C$53</formula>
    </cfRule>
    <cfRule type="cellIs" dxfId="213" priority="302" operator="equal">
      <formula>$C$54</formula>
    </cfRule>
    <cfRule type="cellIs" dxfId="212" priority="303" operator="equal">
      <formula>$C$55</formula>
    </cfRule>
    <cfRule type="cellIs" dxfId="211" priority="304" operator="equal">
      <formula>$C$56</formula>
    </cfRule>
  </conditionalFormatting>
  <conditionalFormatting sqref="G51:G57">
    <cfRule type="cellIs" dxfId="210" priority="298" operator="equal">
      <formula>$G$55</formula>
    </cfRule>
    <cfRule type="cellIs" dxfId="209" priority="299" operator="equal">
      <formula>$G$54</formula>
    </cfRule>
    <cfRule type="cellIs" dxfId="208" priority="300" operator="equal">
      <formula>$G$53</formula>
    </cfRule>
  </conditionalFormatting>
  <conditionalFormatting sqref="I7:I12">
    <cfRule type="cellIs" dxfId="207" priority="8" operator="equal">
      <formula>$G$55</formula>
    </cfRule>
    <cfRule type="cellIs" dxfId="206" priority="9" operator="equal">
      <formula>$G$54</formula>
    </cfRule>
    <cfRule type="cellIs" dxfId="205" priority="10" operator="equal">
      <formula>$G$53</formula>
    </cfRule>
  </conditionalFormatting>
  <dataValidations disablePrompts="1" count="2">
    <dataValidation type="list" allowBlank="1" showInputMessage="1" showErrorMessage="1" sqref="G53:G55 G23:G24 I7:I12 G16:G19" xr:uid="{39875695-BFFE-4D9E-8A1E-1EE7AEE4BDA0}">
      <formula1>$G$53:$G$55</formula1>
    </dataValidation>
    <dataValidation type="list" allowBlank="1" showInputMessage="1" showErrorMessage="1" sqref="C53:C57 C23:C24 C16:C19 C7:C12" xr:uid="{AEE7C8AC-6C09-4A36-94DB-8A925D4266A9}">
      <formula1>$C$53:$C$57</formula1>
    </dataValidation>
  </dataValidations>
  <pageMargins left="0.511811024" right="0.511811024" top="0.78740157499999996" bottom="0.78740157499999996" header="0.31496062000000002" footer="0.31496062000000002"/>
  <ignoredErrors>
    <ignoredError sqref="I23:I24 F34:F38 H16 F32" calculatedColumn="1"/>
  </ignoredErrors>
  <tableParts count="5">
    <tablePart r:id="rId1"/>
    <tablePart r:id="rId2"/>
    <tablePart r:id="rId3"/>
    <tablePart r:id="rId4"/>
    <tablePart r:id="rId5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30" operator="equal" id="{8640D01C-9C25-4555-98EB-549CDB84E074}">
            <xm:f>'\Users\Joao\Documents\Solo Network\[Kanban-Compras.xlsx]Geral'!#REF!</xm:f>
            <x14:dxf>
              <fill>
                <patternFill patternType="solid">
                  <fgColor rgb="FFD9D2E9"/>
                  <bgColor rgb="FFD9D2E9"/>
                </patternFill>
              </fill>
            </x14:dxf>
          </x14:cfRule>
          <xm:sqref>A1</xm:sqref>
        </x14:conditionalFormatting>
        <x14:conditionalFormatting xmlns:xm="http://schemas.microsoft.com/office/excel/2006/main">
          <x14:cfRule type="cellIs" priority="319" operator="equal" id="{72EEAC38-E05B-44D7-9170-10EE8A04B5A1}">
            <xm:f>'\Users\Joao\Documents\Solo Network\[Kanban-Compras.xlsx]Geral'!#REF!</xm:f>
            <x14:dxf>
              <fill>
                <patternFill patternType="solid">
                  <fgColor rgb="FFD9D2E9"/>
                  <bgColor rgb="FFD9D2E9"/>
                </patternFill>
              </fill>
            </x14:dxf>
          </x14:cfRule>
          <xm:sqref>C1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C2A77-D723-42F4-8EEA-79CD4CBD0959}">
  <dimension ref="B2:L16"/>
  <sheetViews>
    <sheetView showGridLines="0" workbookViewId="0">
      <selection activeCell="H21" sqref="H21"/>
    </sheetView>
  </sheetViews>
  <sheetFormatPr defaultRowHeight="15" x14ac:dyDescent="0.25"/>
  <cols>
    <col min="2" max="2" width="18" bestFit="1" customWidth="1"/>
    <col min="3" max="3" width="13.5703125" bestFit="1" customWidth="1"/>
    <col min="5" max="5" width="18" bestFit="1" customWidth="1"/>
    <col min="6" max="6" width="13.5703125" bestFit="1" customWidth="1"/>
    <col min="8" max="9" width="13.5703125" bestFit="1" customWidth="1"/>
    <col min="11" max="11" width="18" bestFit="1" customWidth="1"/>
    <col min="12" max="12" width="13.5703125" bestFit="1" customWidth="1"/>
  </cols>
  <sheetData>
    <row r="2" spans="2:12" x14ac:dyDescent="0.25">
      <c r="B2" s="136" t="s">
        <v>0</v>
      </c>
      <c r="C2" s="136"/>
      <c r="E2" s="136" t="s">
        <v>68</v>
      </c>
      <c r="F2" s="136"/>
      <c r="H2" s="136" t="s">
        <v>8</v>
      </c>
      <c r="I2" s="136"/>
      <c r="K2" s="136" t="s">
        <v>59</v>
      </c>
      <c r="L2" s="136"/>
    </row>
    <row r="4" spans="2:12" x14ac:dyDescent="0.25">
      <c r="B4" s="59" t="s">
        <v>4</v>
      </c>
      <c r="C4" t="s">
        <v>67</v>
      </c>
      <c r="E4" s="59" t="s">
        <v>4</v>
      </c>
      <c r="F4" t="s">
        <v>67</v>
      </c>
      <c r="H4" t="s">
        <v>67</v>
      </c>
      <c r="K4" s="59" t="s">
        <v>4</v>
      </c>
      <c r="L4" t="s">
        <v>67</v>
      </c>
    </row>
    <row r="5" spans="2:12" x14ac:dyDescent="0.25">
      <c r="B5" s="60" t="s">
        <v>39</v>
      </c>
      <c r="C5" s="61">
        <v>6</v>
      </c>
      <c r="E5" s="60" t="s">
        <v>6</v>
      </c>
      <c r="F5" s="61">
        <v>0</v>
      </c>
      <c r="H5" s="61">
        <v>4595.9916422164479</v>
      </c>
      <c r="K5" s="60" t="s">
        <v>66</v>
      </c>
      <c r="L5" s="100">
        <v>2000</v>
      </c>
    </row>
    <row r="6" spans="2:12" x14ac:dyDescent="0.25">
      <c r="B6" s="60" t="s">
        <v>38</v>
      </c>
      <c r="C6" s="61">
        <v>123.9</v>
      </c>
      <c r="E6" s="60" t="s">
        <v>10</v>
      </c>
      <c r="F6" s="61">
        <v>500</v>
      </c>
      <c r="K6" s="60" t="s">
        <v>61</v>
      </c>
      <c r="L6" s="100">
        <v>845</v>
      </c>
    </row>
    <row r="7" spans="2:12" x14ac:dyDescent="0.25">
      <c r="B7" s="60" t="s">
        <v>5</v>
      </c>
      <c r="C7" s="61">
        <v>129.9</v>
      </c>
      <c r="E7" s="60" t="s">
        <v>7</v>
      </c>
      <c r="F7" s="61">
        <v>10</v>
      </c>
      <c r="K7" s="60" t="s">
        <v>108</v>
      </c>
      <c r="L7" s="100">
        <v>347.90000000000009</v>
      </c>
    </row>
    <row r="8" spans="2:12" x14ac:dyDescent="0.25">
      <c r="E8" s="60" t="s">
        <v>27</v>
      </c>
      <c r="F8" s="61">
        <v>335</v>
      </c>
      <c r="K8" s="60" t="s">
        <v>109</v>
      </c>
      <c r="L8" s="100">
        <v>0.29164221644731331</v>
      </c>
    </row>
    <row r="9" spans="2:12" x14ac:dyDescent="0.25">
      <c r="E9" s="60" t="s">
        <v>5</v>
      </c>
      <c r="F9" s="61">
        <v>845</v>
      </c>
      <c r="K9" s="60" t="s">
        <v>2</v>
      </c>
      <c r="L9" s="100">
        <v>123.9</v>
      </c>
    </row>
    <row r="10" spans="2:12" x14ac:dyDescent="0.25">
      <c r="K10" s="60" t="s">
        <v>130</v>
      </c>
      <c r="L10" s="100">
        <v>86</v>
      </c>
    </row>
    <row r="11" spans="2:12" x14ac:dyDescent="0.25">
      <c r="B11" s="59" t="s">
        <v>4</v>
      </c>
      <c r="C11" t="s">
        <v>67</v>
      </c>
      <c r="D11" s="59"/>
      <c r="E11" s="59"/>
      <c r="F11" s="59"/>
      <c r="G11" s="59"/>
      <c r="H11" s="59"/>
      <c r="I11" s="59"/>
      <c r="K11" s="60" t="s">
        <v>133</v>
      </c>
      <c r="L11" s="100">
        <v>1192.9000000000001</v>
      </c>
    </row>
    <row r="12" spans="2:12" x14ac:dyDescent="0.25">
      <c r="B12" s="60" t="s">
        <v>3</v>
      </c>
      <c r="C12" s="61">
        <v>67.5</v>
      </c>
      <c r="K12" s="60" t="s">
        <v>5</v>
      </c>
      <c r="L12" s="100">
        <v>4595.9916422164479</v>
      </c>
    </row>
    <row r="13" spans="2:12" x14ac:dyDescent="0.25">
      <c r="B13" s="60" t="s">
        <v>23</v>
      </c>
      <c r="C13" s="61">
        <v>6</v>
      </c>
    </row>
    <row r="14" spans="2:12" x14ac:dyDescent="0.25">
      <c r="B14" s="60" t="s">
        <v>24</v>
      </c>
      <c r="C14" s="61">
        <v>32</v>
      </c>
    </row>
    <row r="15" spans="2:12" x14ac:dyDescent="0.25">
      <c r="B15" s="60" t="s">
        <v>22</v>
      </c>
      <c r="C15" s="61">
        <v>24.4</v>
      </c>
    </row>
    <row r="16" spans="2:12" x14ac:dyDescent="0.25">
      <c r="B16" s="60" t="s">
        <v>5</v>
      </c>
      <c r="C16" s="61">
        <v>129.9</v>
      </c>
    </row>
  </sheetData>
  <mergeCells count="4">
    <mergeCell ref="B2:C2"/>
    <mergeCell ref="E2:F2"/>
    <mergeCell ref="H2:I2"/>
    <mergeCell ref="K2:L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234AF-8313-427A-8A3F-0753A74D4244}">
  <dimension ref="A1:K38"/>
  <sheetViews>
    <sheetView showGridLines="0" topLeftCell="A7" zoomScale="90" zoomScaleNormal="90" workbookViewId="0">
      <selection activeCell="J15" sqref="J15"/>
    </sheetView>
  </sheetViews>
  <sheetFormatPr defaultRowHeight="15" x14ac:dyDescent="0.25"/>
  <cols>
    <col min="2" max="2" width="2.42578125" customWidth="1"/>
    <col min="3" max="3" width="15.42578125" customWidth="1"/>
    <col min="4" max="4" width="35.28515625" bestFit="1" customWidth="1"/>
    <col min="5" max="5" width="22.5703125" customWidth="1"/>
    <col min="6" max="6" width="19.7109375" customWidth="1"/>
    <col min="7" max="7" width="18.85546875" customWidth="1"/>
    <col min="8" max="8" width="19.85546875" bestFit="1" customWidth="1"/>
    <col min="9" max="9" width="16.85546875" bestFit="1" customWidth="1"/>
    <col min="10" max="10" width="15.28515625" bestFit="1" customWidth="1"/>
    <col min="11" max="11" width="18.42578125" customWidth="1"/>
  </cols>
  <sheetData>
    <row r="1" spans="1:11" ht="18" x14ac:dyDescent="0.25">
      <c r="A1" s="131" t="s">
        <v>54</v>
      </c>
      <c r="B1" s="131"/>
      <c r="C1" s="132" t="s">
        <v>27</v>
      </c>
      <c r="D1" s="132"/>
      <c r="E1" s="134" t="s">
        <v>52</v>
      </c>
      <c r="F1" s="134"/>
      <c r="G1" s="134" t="s">
        <v>58</v>
      </c>
      <c r="H1" s="134"/>
      <c r="I1" s="54"/>
      <c r="J1" s="35"/>
      <c r="K1" s="36"/>
    </row>
    <row r="2" spans="1:11" ht="18" x14ac:dyDescent="0.25">
      <c r="A2" s="131"/>
      <c r="B2" s="131"/>
      <c r="C2" s="132"/>
      <c r="D2" s="132"/>
      <c r="E2" s="134"/>
      <c r="F2" s="134"/>
      <c r="G2" s="134"/>
      <c r="H2" s="134"/>
      <c r="I2" s="55"/>
      <c r="J2" s="37"/>
      <c r="K2" s="38"/>
    </row>
    <row r="3" spans="1:11" ht="18" x14ac:dyDescent="0.25">
      <c r="A3" s="131"/>
      <c r="B3" s="131"/>
      <c r="C3" s="133"/>
      <c r="D3" s="133"/>
      <c r="E3" s="135"/>
      <c r="F3" s="135"/>
      <c r="G3" s="135"/>
      <c r="H3" s="135"/>
      <c r="I3" s="48"/>
      <c r="J3" s="47"/>
      <c r="K3" s="49"/>
    </row>
    <row r="4" spans="1:11" ht="15.75" thickBot="1" x14ac:dyDescent="0.3">
      <c r="A4" s="3"/>
      <c r="B4" s="3"/>
      <c r="C4" s="3"/>
      <c r="D4" s="3"/>
      <c r="E4" s="3"/>
      <c r="F4" s="3"/>
      <c r="G4" s="4"/>
      <c r="H4" s="4"/>
      <c r="I4" s="4"/>
      <c r="J4" s="3"/>
      <c r="K4" s="3"/>
    </row>
    <row r="5" spans="1:11" ht="44.25" customHeight="1" thickTop="1" thickBot="1" x14ac:dyDescent="0.3">
      <c r="A5" s="5"/>
      <c r="B5" s="6"/>
      <c r="C5" s="42" t="s">
        <v>54</v>
      </c>
      <c r="D5" s="43" t="s">
        <v>27</v>
      </c>
      <c r="E5" s="44"/>
      <c r="F5" s="45" t="s">
        <v>50</v>
      </c>
      <c r="G5" s="42">
        <f>COUNTIFS(Tabela55[Status],"Produzida")</f>
        <v>4</v>
      </c>
      <c r="H5" s="129">
        <f>SUM(Tabela55[Qtd])</f>
        <v>70</v>
      </c>
      <c r="I5" s="46"/>
      <c r="J5" s="46"/>
      <c r="K5" s="46"/>
    </row>
    <row r="6" spans="1:11" ht="33.75" customHeight="1" thickTop="1" thickBot="1" x14ac:dyDescent="0.3">
      <c r="A6" s="5"/>
      <c r="B6" s="6"/>
      <c r="C6" s="39" t="s">
        <v>28</v>
      </c>
      <c r="D6" s="40" t="s">
        <v>40</v>
      </c>
      <c r="E6" s="40" t="s">
        <v>41</v>
      </c>
      <c r="F6" s="40" t="s">
        <v>12</v>
      </c>
      <c r="G6" s="40" t="s">
        <v>29</v>
      </c>
      <c r="H6" s="39" t="s">
        <v>30</v>
      </c>
      <c r="I6" s="41" t="s">
        <v>9</v>
      </c>
      <c r="J6" s="39" t="s">
        <v>53</v>
      </c>
      <c r="K6" s="39" t="s">
        <v>1</v>
      </c>
    </row>
    <row r="7" spans="1:11" ht="16.5" thickTop="1" thickBot="1" x14ac:dyDescent="0.3">
      <c r="A7" s="8"/>
      <c r="B7" s="29"/>
      <c r="C7" s="30" t="s">
        <v>118</v>
      </c>
      <c r="D7" s="9" t="s">
        <v>3</v>
      </c>
      <c r="E7" s="9" t="s">
        <v>44</v>
      </c>
      <c r="F7" s="12">
        <v>46055</v>
      </c>
      <c r="G7" s="10" t="str">
        <f t="shared" ref="G7:G10" si="0">PROPER(TEXT(F7,"Mmmm"))</f>
        <v>Fevereiro</v>
      </c>
      <c r="H7" s="31" t="s">
        <v>34</v>
      </c>
      <c r="I7" s="50">
        <v>20</v>
      </c>
      <c r="J7" s="11">
        <v>1</v>
      </c>
      <c r="K7" s="11">
        <f>Tabela55[[#This Row],[Vlr. Uni]]*Tabela55[[#This Row],[Qtd]]</f>
        <v>20</v>
      </c>
    </row>
    <row r="8" spans="1:11" ht="16.5" thickTop="1" thickBot="1" x14ac:dyDescent="0.3">
      <c r="A8" s="8"/>
      <c r="B8" s="29"/>
      <c r="C8" s="30" t="s">
        <v>118</v>
      </c>
      <c r="D8" s="9" t="s">
        <v>22</v>
      </c>
      <c r="E8" s="9" t="s">
        <v>45</v>
      </c>
      <c r="F8" s="12">
        <v>46056</v>
      </c>
      <c r="G8" s="12" t="str">
        <f t="shared" si="0"/>
        <v>Fevereiro</v>
      </c>
      <c r="H8" s="31" t="s">
        <v>34</v>
      </c>
      <c r="I8" s="50">
        <v>10</v>
      </c>
      <c r="J8" s="11">
        <v>3</v>
      </c>
      <c r="K8" s="11">
        <f>Tabela55[[#This Row],[Vlr. Uni]]*Tabela55[[#This Row],[Qtd]]</f>
        <v>30</v>
      </c>
    </row>
    <row r="9" spans="1:11" ht="16.5" thickTop="1" thickBot="1" x14ac:dyDescent="0.3">
      <c r="A9" s="8"/>
      <c r="B9" s="29"/>
      <c r="C9" s="30" t="s">
        <v>118</v>
      </c>
      <c r="D9" s="9" t="s">
        <v>24</v>
      </c>
      <c r="E9" s="9" t="s">
        <v>46</v>
      </c>
      <c r="F9" s="12">
        <v>46057</v>
      </c>
      <c r="G9" s="12" t="str">
        <f t="shared" si="0"/>
        <v>Fevereiro</v>
      </c>
      <c r="H9" s="31" t="s">
        <v>34</v>
      </c>
      <c r="I9" s="50">
        <v>15</v>
      </c>
      <c r="J9" s="11">
        <v>4</v>
      </c>
      <c r="K9" s="11">
        <f>Tabela55[[#This Row],[Vlr. Uni]]*Tabela55[[#This Row],[Qtd]]</f>
        <v>60</v>
      </c>
    </row>
    <row r="10" spans="1:11" ht="16.5" thickTop="1" thickBot="1" x14ac:dyDescent="0.3">
      <c r="A10" s="8"/>
      <c r="B10" s="29"/>
      <c r="C10" s="30" t="s">
        <v>118</v>
      </c>
      <c r="D10" s="13" t="s">
        <v>23</v>
      </c>
      <c r="E10" s="14" t="s">
        <v>47</v>
      </c>
      <c r="F10" s="12">
        <v>46058</v>
      </c>
      <c r="G10" s="15" t="str">
        <f t="shared" si="0"/>
        <v>Fevereiro</v>
      </c>
      <c r="H10" s="31" t="s">
        <v>34</v>
      </c>
      <c r="I10" s="50">
        <v>25</v>
      </c>
      <c r="J10" s="16">
        <v>9</v>
      </c>
      <c r="K10" s="11">
        <f>Tabela55[[#This Row],[Vlr. Uni]]*Tabela55[[#This Row],[Qtd]]</f>
        <v>225</v>
      </c>
    </row>
    <row r="11" spans="1:11" ht="19.5" thickTop="1" thickBot="1" x14ac:dyDescent="0.3">
      <c r="A11" s="5"/>
      <c r="B11" s="6"/>
      <c r="C11" s="17"/>
      <c r="D11" s="5"/>
      <c r="E11" s="5"/>
      <c r="F11" s="5"/>
      <c r="G11" s="18"/>
      <c r="H11" s="19"/>
      <c r="I11" s="18"/>
      <c r="J11" s="18"/>
      <c r="K11" s="7"/>
    </row>
    <row r="12" spans="1:11" ht="36" customHeight="1" thickTop="1" thickBot="1" x14ac:dyDescent="0.3">
      <c r="A12" s="5"/>
      <c r="B12" s="6"/>
      <c r="C12" s="62" t="s">
        <v>55</v>
      </c>
      <c r="D12" s="63" t="s">
        <v>10</v>
      </c>
      <c r="E12" s="64"/>
      <c r="F12" s="125" t="s">
        <v>162</v>
      </c>
      <c r="G12" s="126">
        <f>COUNTIFS(Tabela1[Status],"Matéria-prima")</f>
        <v>3</v>
      </c>
      <c r="H12" s="128">
        <f>SUM(J18,J19,J22)</f>
        <v>250</v>
      </c>
      <c r="I12" s="130">
        <f>H12/H5</f>
        <v>3.5714285714285716</v>
      </c>
      <c r="J12" s="67"/>
      <c r="K12" s="96"/>
    </row>
    <row r="13" spans="1:11" ht="31.5" customHeight="1" thickTop="1" thickBot="1" x14ac:dyDescent="0.3">
      <c r="A13" s="5"/>
      <c r="B13" s="6"/>
      <c r="C13" s="39" t="s">
        <v>28</v>
      </c>
      <c r="D13" s="40" t="s">
        <v>76</v>
      </c>
      <c r="E13" s="40" t="s">
        <v>12</v>
      </c>
      <c r="F13" s="40" t="s">
        <v>29</v>
      </c>
      <c r="G13" s="39" t="s">
        <v>30</v>
      </c>
      <c r="H13" s="41" t="s">
        <v>9</v>
      </c>
      <c r="I13" s="39" t="s">
        <v>53</v>
      </c>
      <c r="J13" s="39" t="s">
        <v>1</v>
      </c>
      <c r="K13" s="39" t="s">
        <v>165</v>
      </c>
    </row>
    <row r="14" spans="1:11" ht="19.5" thickTop="1" thickBot="1" x14ac:dyDescent="0.3">
      <c r="A14" s="5"/>
      <c r="B14" s="29"/>
      <c r="C14" s="30" t="s">
        <v>164</v>
      </c>
      <c r="D14" s="13" t="s">
        <v>161</v>
      </c>
      <c r="E14" s="12">
        <v>46054</v>
      </c>
      <c r="F14" s="10" t="str">
        <f>PROPER(TEXT(E14,"Mmmm"))</f>
        <v>Fevereiro</v>
      </c>
      <c r="G14" s="31" t="s">
        <v>34</v>
      </c>
      <c r="H14" s="124">
        <v>50</v>
      </c>
      <c r="I14" s="11">
        <v>3.5</v>
      </c>
      <c r="J14" s="11">
        <f>I14*H14</f>
        <v>175</v>
      </c>
      <c r="K14" s="127">
        <f>Tabela1[[#This Row],[Total]]/Tabela1[[#This Row],[Qtd]]</f>
        <v>3.5</v>
      </c>
    </row>
    <row r="15" spans="1:11" ht="19.5" thickTop="1" thickBot="1" x14ac:dyDescent="0.3">
      <c r="A15" s="5"/>
      <c r="B15" s="29"/>
      <c r="C15" s="30" t="s">
        <v>164</v>
      </c>
      <c r="D15" s="13" t="s">
        <v>22</v>
      </c>
      <c r="E15" s="12">
        <v>46054</v>
      </c>
      <c r="F15" s="10" t="str">
        <f>PROPER(TEXT(E15,"Mmmm"))</f>
        <v>Fevereiro</v>
      </c>
      <c r="G15" s="31" t="s">
        <v>34</v>
      </c>
      <c r="H15" s="124">
        <v>10</v>
      </c>
      <c r="I15" s="11">
        <v>5.6</v>
      </c>
      <c r="J15" s="11">
        <f>I15*H15</f>
        <v>56</v>
      </c>
      <c r="K15" s="127">
        <f>Tabela1[[#This Row],[Total]]/Tabela1[[#This Row],[Qtd]]</f>
        <v>5.6</v>
      </c>
    </row>
    <row r="16" spans="1:11" ht="19.5" thickTop="1" thickBot="1" x14ac:dyDescent="0.3">
      <c r="A16" s="5"/>
      <c r="B16" s="29"/>
      <c r="C16" s="30" t="s">
        <v>164</v>
      </c>
      <c r="D16" s="13" t="s">
        <v>24</v>
      </c>
      <c r="E16" s="12">
        <v>46054</v>
      </c>
      <c r="F16" s="10" t="str">
        <f>PROPER(TEXT(E16,"Mmmm"))</f>
        <v>Fevereiro</v>
      </c>
      <c r="G16" s="31" t="s">
        <v>34</v>
      </c>
      <c r="H16" s="124">
        <v>10</v>
      </c>
      <c r="I16" s="11">
        <v>8.5</v>
      </c>
      <c r="J16" s="11">
        <f>I16*H16</f>
        <v>85</v>
      </c>
      <c r="K16" s="127">
        <f>Tabela1[[#This Row],[Total]]/Tabela1[[#This Row],[Qtd]]</f>
        <v>8.5</v>
      </c>
    </row>
    <row r="17" spans="1:11" ht="19.5" thickTop="1" thickBot="1" x14ac:dyDescent="0.3">
      <c r="A17" s="5"/>
      <c r="B17" s="29"/>
      <c r="C17" s="30" t="s">
        <v>164</v>
      </c>
      <c r="D17" s="13" t="s">
        <v>23</v>
      </c>
      <c r="E17" s="12">
        <v>46054</v>
      </c>
      <c r="F17" s="10" t="str">
        <f>PROPER(TEXT(E17,"Mmmm"))</f>
        <v>Fevereiro</v>
      </c>
      <c r="G17" s="31" t="s">
        <v>34</v>
      </c>
      <c r="H17" s="124">
        <v>10</v>
      </c>
      <c r="I17" s="11">
        <v>10.5</v>
      </c>
      <c r="J17" s="11">
        <f>I17*H17</f>
        <v>105</v>
      </c>
      <c r="K17" s="127">
        <f>Tabela1[[#This Row],[Total]]/Tabela1[[#This Row],[Qtd]]</f>
        <v>10.5</v>
      </c>
    </row>
    <row r="18" spans="1:11" ht="18.75" customHeight="1" thickTop="1" thickBot="1" x14ac:dyDescent="0.3">
      <c r="A18" s="5"/>
      <c r="B18" s="29"/>
      <c r="C18" s="30" t="s">
        <v>49</v>
      </c>
      <c r="D18" s="9" t="s">
        <v>51</v>
      </c>
      <c r="E18" s="12">
        <v>46054</v>
      </c>
      <c r="F18" s="10" t="str">
        <f t="shared" ref="F18" si="1">PROPER(TEXT(E18,"Mmmm"))</f>
        <v>Fevereiro</v>
      </c>
      <c r="G18" s="31" t="s">
        <v>34</v>
      </c>
      <c r="H18" s="50">
        <v>50</v>
      </c>
      <c r="I18" s="11">
        <v>1</v>
      </c>
      <c r="J18" s="11">
        <f t="shared" ref="J18:J22" si="2">I18*H18</f>
        <v>50</v>
      </c>
      <c r="K18" s="127">
        <f>Tabela1[[#This Row],[Total]]/Tabela1[[#This Row],[Qtd]]</f>
        <v>1</v>
      </c>
    </row>
    <row r="19" spans="1:11" ht="20.25" customHeight="1" thickTop="1" thickBot="1" x14ac:dyDescent="0.3">
      <c r="A19" s="5"/>
      <c r="B19" s="29"/>
      <c r="C19" s="30" t="s">
        <v>49</v>
      </c>
      <c r="D19" s="13" t="s">
        <v>25</v>
      </c>
      <c r="E19" s="12">
        <v>46054</v>
      </c>
      <c r="F19" s="10" t="str">
        <f t="shared" ref="F19:F21" si="3">PROPER(TEXT(E19,"Mmmm"))</f>
        <v>Fevereiro</v>
      </c>
      <c r="G19" s="31" t="s">
        <v>34</v>
      </c>
      <c r="H19" s="50">
        <v>50</v>
      </c>
      <c r="I19" s="11">
        <v>2</v>
      </c>
      <c r="J19" s="11">
        <f>I19*H19</f>
        <v>100</v>
      </c>
      <c r="K19" s="127">
        <f>Tabela1[[#This Row],[Total]]/Tabela1[[#This Row],[Qtd]]</f>
        <v>2</v>
      </c>
    </row>
    <row r="20" spans="1:11" ht="20.25" customHeight="1" thickTop="1" thickBot="1" x14ac:dyDescent="0.3">
      <c r="A20" s="5"/>
      <c r="B20" s="29"/>
      <c r="C20" s="30" t="s">
        <v>164</v>
      </c>
      <c r="D20" s="13" t="s">
        <v>26</v>
      </c>
      <c r="E20" s="12">
        <v>46054</v>
      </c>
      <c r="F20" s="10" t="str">
        <f t="shared" si="3"/>
        <v>Fevereiro</v>
      </c>
      <c r="G20" s="31" t="s">
        <v>34</v>
      </c>
      <c r="H20" s="50">
        <v>30</v>
      </c>
      <c r="I20" s="11">
        <v>2</v>
      </c>
      <c r="J20" s="11">
        <f t="shared" si="2"/>
        <v>60</v>
      </c>
      <c r="K20" s="127">
        <f>Tabela1[[#This Row],[Total]]/Tabela1[[#This Row],[Qtd]]</f>
        <v>2</v>
      </c>
    </row>
    <row r="21" spans="1:11" ht="18.75" customHeight="1" thickTop="1" thickBot="1" x14ac:dyDescent="0.3">
      <c r="A21" s="5"/>
      <c r="B21" s="29"/>
      <c r="C21" s="30" t="s">
        <v>163</v>
      </c>
      <c r="D21" s="13" t="s">
        <v>56</v>
      </c>
      <c r="E21" s="12">
        <v>46054</v>
      </c>
      <c r="F21" s="10" t="str">
        <f t="shared" si="3"/>
        <v>Fevereiro</v>
      </c>
      <c r="G21" s="31" t="s">
        <v>34</v>
      </c>
      <c r="H21" s="50">
        <v>5</v>
      </c>
      <c r="I21" s="11">
        <v>2</v>
      </c>
      <c r="J21" s="11">
        <v>0</v>
      </c>
      <c r="K21" s="127">
        <f>Tabela1[[#This Row],[Total]]/Tabela1[[#This Row],[Qtd]]</f>
        <v>0</v>
      </c>
    </row>
    <row r="22" spans="1:11" ht="20.25" customHeight="1" thickTop="1" thickBot="1" x14ac:dyDescent="0.3">
      <c r="A22" s="5"/>
      <c r="B22" s="29"/>
      <c r="C22" s="30" t="s">
        <v>49</v>
      </c>
      <c r="D22" s="13" t="s">
        <v>57</v>
      </c>
      <c r="E22" s="12">
        <v>46054</v>
      </c>
      <c r="F22" s="10" t="str">
        <f t="shared" ref="F22" si="4">PROPER(TEXT(E22,"Mmmm"))</f>
        <v>Fevereiro</v>
      </c>
      <c r="G22" s="31" t="s">
        <v>34</v>
      </c>
      <c r="H22" s="50">
        <v>50</v>
      </c>
      <c r="I22" s="11">
        <v>2</v>
      </c>
      <c r="J22" s="11">
        <f t="shared" si="2"/>
        <v>100</v>
      </c>
      <c r="K22" s="127">
        <f>Tabela1[[#This Row],[Total]]/Tabela1[[#This Row],[Qtd]]</f>
        <v>2</v>
      </c>
    </row>
    <row r="23" spans="1:11" ht="17.25" customHeight="1" thickTop="1" thickBot="1" x14ac:dyDescent="0.3">
      <c r="A23" s="5"/>
      <c r="B23" s="29"/>
      <c r="C23" s="30" t="s">
        <v>163</v>
      </c>
      <c r="D23" s="13" t="s">
        <v>69</v>
      </c>
      <c r="E23" s="12">
        <v>46054</v>
      </c>
      <c r="F23" s="10" t="str">
        <f t="shared" ref="F23" si="5">PROPER(TEXT(E23,"Mmmm"))</f>
        <v>Fevereiro</v>
      </c>
      <c r="G23" s="31" t="s">
        <v>34</v>
      </c>
      <c r="H23" s="50">
        <v>1</v>
      </c>
      <c r="I23" s="11">
        <v>500</v>
      </c>
      <c r="J23" s="11">
        <v>0</v>
      </c>
      <c r="K23" s="127">
        <f>Tabela1[[#This Row],[Total]]/Tabela1[[#This Row],[Qtd]]</f>
        <v>0</v>
      </c>
    </row>
    <row r="24" spans="1:11" ht="24.75" thickTop="1" thickBot="1" x14ac:dyDescent="0.3">
      <c r="A24" s="20"/>
      <c r="B24" s="20"/>
      <c r="C24" s="68"/>
      <c r="D24" s="68"/>
      <c r="E24" s="68"/>
      <c r="F24" s="68"/>
      <c r="G24" s="68"/>
      <c r="H24" s="68"/>
      <c r="I24" s="68"/>
      <c r="J24" s="68"/>
      <c r="K24" s="20"/>
    </row>
    <row r="25" spans="1:11" ht="24.75" thickTop="1" thickBot="1" x14ac:dyDescent="0.3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spans="1:11" ht="36" customHeight="1" thickTop="1" thickBot="1" x14ac:dyDescent="0.3">
      <c r="A26" s="20"/>
      <c r="B26" s="21"/>
      <c r="C26" s="51" t="s">
        <v>54</v>
      </c>
      <c r="D26" s="52" t="s">
        <v>71</v>
      </c>
      <c r="E26" s="88" t="s">
        <v>78</v>
      </c>
      <c r="F26" s="52"/>
      <c r="G26" s="51"/>
      <c r="H26" s="51"/>
      <c r="I26" s="51"/>
      <c r="J26" s="51"/>
      <c r="K26" s="7"/>
    </row>
    <row r="27" spans="1:11" ht="16.5" thickTop="1" thickBot="1" x14ac:dyDescent="0.3">
      <c r="A27" s="22"/>
      <c r="B27" s="22"/>
      <c r="C27" s="22"/>
      <c r="D27" s="22"/>
      <c r="E27" s="22"/>
      <c r="F27" s="22"/>
      <c r="G27" s="23"/>
      <c r="H27" s="23"/>
      <c r="I27" s="23"/>
      <c r="J27" s="24"/>
      <c r="K27" s="7"/>
    </row>
    <row r="28" spans="1:11" ht="15.75" thickTop="1" x14ac:dyDescent="0.25"/>
    <row r="29" spans="1:11" ht="15.75" thickBot="1" x14ac:dyDescent="0.3"/>
    <row r="30" spans="1:11" ht="16.5" thickTop="1" thickBot="1" x14ac:dyDescent="0.3">
      <c r="A30" s="25"/>
      <c r="B30" s="25"/>
      <c r="C30" s="26"/>
      <c r="D30" s="25"/>
      <c r="E30" s="25"/>
      <c r="F30" s="27"/>
      <c r="G30" s="26"/>
      <c r="H30" s="25"/>
      <c r="I30" s="25"/>
      <c r="J30" s="28"/>
      <c r="K30" s="25"/>
    </row>
    <row r="31" spans="1:11" ht="16.5" thickTop="1" thickBot="1" x14ac:dyDescent="0.3">
      <c r="A31" s="25"/>
      <c r="B31" s="25"/>
      <c r="C31" s="26" t="s">
        <v>33</v>
      </c>
      <c r="D31" s="25"/>
      <c r="E31" s="25"/>
      <c r="F31" s="27"/>
      <c r="G31" s="26" t="s">
        <v>30</v>
      </c>
      <c r="H31" s="25"/>
      <c r="I31" s="25"/>
      <c r="J31" s="28"/>
      <c r="K31" s="25"/>
    </row>
    <row r="32" spans="1:11" ht="16.5" thickTop="1" thickBot="1" x14ac:dyDescent="0.3">
      <c r="A32" s="25"/>
      <c r="B32" s="29"/>
      <c r="C32" s="58" t="s">
        <v>164</v>
      </c>
      <c r="D32" s="25"/>
      <c r="E32" s="25"/>
      <c r="F32" s="27"/>
      <c r="G32" s="31" t="s">
        <v>32</v>
      </c>
      <c r="H32" s="25"/>
      <c r="I32" s="25"/>
      <c r="J32" s="32"/>
      <c r="K32" s="25"/>
    </row>
    <row r="33" spans="1:11" ht="16.5" thickTop="1" thickBot="1" x14ac:dyDescent="0.3">
      <c r="A33" s="25"/>
      <c r="B33" s="29"/>
      <c r="C33" s="58" t="s">
        <v>118</v>
      </c>
      <c r="D33" s="25"/>
      <c r="E33" s="25"/>
      <c r="F33" s="27"/>
      <c r="G33" s="31" t="s">
        <v>34</v>
      </c>
      <c r="H33" s="25"/>
      <c r="I33" s="25"/>
      <c r="J33" s="25"/>
      <c r="K33" s="25"/>
    </row>
    <row r="34" spans="1:11" ht="16.5" thickTop="1" thickBot="1" x14ac:dyDescent="0.3">
      <c r="A34" s="25"/>
      <c r="B34" s="29"/>
      <c r="C34" s="58" t="s">
        <v>163</v>
      </c>
      <c r="D34" s="25"/>
      <c r="E34" s="25"/>
      <c r="F34" s="25"/>
      <c r="G34" s="31" t="s">
        <v>35</v>
      </c>
      <c r="H34" s="25"/>
      <c r="I34" s="25"/>
      <c r="J34" s="25"/>
      <c r="K34" s="25"/>
    </row>
    <row r="35" spans="1:11" ht="16.5" thickTop="1" thickBot="1" x14ac:dyDescent="0.3">
      <c r="A35" s="25"/>
      <c r="B35" s="29"/>
      <c r="C35" s="58" t="s">
        <v>48</v>
      </c>
      <c r="D35" s="25"/>
      <c r="E35" s="25"/>
      <c r="F35" s="25"/>
      <c r="G35" s="25"/>
      <c r="H35" s="25"/>
      <c r="I35" s="25"/>
      <c r="J35" s="25"/>
      <c r="K35" s="34"/>
    </row>
    <row r="36" spans="1:11" ht="16.5" thickTop="1" thickBot="1" x14ac:dyDescent="0.3">
      <c r="A36" s="26"/>
      <c r="B36" s="29"/>
      <c r="C36" s="58" t="s">
        <v>49</v>
      </c>
      <c r="D36" s="25"/>
      <c r="E36" s="25"/>
      <c r="F36" s="25"/>
      <c r="G36" s="33"/>
      <c r="H36" s="33"/>
      <c r="I36" s="33"/>
      <c r="J36" s="33"/>
      <c r="K36" s="34"/>
    </row>
    <row r="37" spans="1:11" ht="16.5" thickTop="1" thickBot="1" x14ac:dyDescent="0.3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ht="15.75" thickTop="1" x14ac:dyDescent="0.25"/>
  </sheetData>
  <mergeCells count="4">
    <mergeCell ref="A1:B3"/>
    <mergeCell ref="C1:D3"/>
    <mergeCell ref="E1:F3"/>
    <mergeCell ref="G1:H3"/>
  </mergeCells>
  <conditionalFormatting sqref="A1 C1 A4:B4 C4:C6 C26:C27">
    <cfRule type="cellIs" dxfId="143" priority="199" operator="equal">
      <formula>#REF!</formula>
    </cfRule>
  </conditionalFormatting>
  <conditionalFormatting sqref="A4:C4 C26:C27">
    <cfRule type="cellIs" dxfId="142" priority="200" operator="equal">
      <formula>#REF!</formula>
    </cfRule>
    <cfRule type="cellIs" dxfId="141" priority="201" operator="equal">
      <formula>#REF!</formula>
    </cfRule>
    <cfRule type="cellIs" dxfId="140" priority="202" operator="equal">
      <formula>#REF!</formula>
    </cfRule>
    <cfRule type="cellIs" dxfId="139" priority="203" operator="equal">
      <formula>#REF!</formula>
    </cfRule>
  </conditionalFormatting>
  <conditionalFormatting sqref="B4:B6 B26:B27">
    <cfRule type="expression" dxfId="138" priority="207">
      <formula>(C4=#REF!)</formula>
    </cfRule>
    <cfRule type="expression" dxfId="137" priority="208">
      <formula>(C4=#REF!)</formula>
    </cfRule>
    <cfRule type="expression" dxfId="136" priority="209">
      <formula>(C4=#REF!)</formula>
    </cfRule>
    <cfRule type="expression" dxfId="135" priority="210">
      <formula>(C4=#REF!)</formula>
    </cfRule>
    <cfRule type="expression" dxfId="134" priority="211">
      <formula>(C4=#REF!)</formula>
    </cfRule>
  </conditionalFormatting>
  <conditionalFormatting sqref="B7:B10">
    <cfRule type="expression" dxfId="133" priority="145">
      <formula>(C7=$C$32)</formula>
    </cfRule>
    <cfRule type="expression" dxfId="132" priority="146">
      <formula>(C7=$C$33)</formula>
    </cfRule>
    <cfRule type="expression" dxfId="131" priority="147">
      <formula>(C7=$C$34)</formula>
    </cfRule>
    <cfRule type="expression" dxfId="130" priority="148">
      <formula>(C7=$C$35)</formula>
    </cfRule>
    <cfRule type="expression" dxfId="129" priority="149">
      <formula>(C7=$C$36)</formula>
    </cfRule>
  </conditionalFormatting>
  <conditionalFormatting sqref="B11:B13">
    <cfRule type="expression" dxfId="128" priority="105">
      <formula>(C11=#REF!)</formula>
    </cfRule>
    <cfRule type="expression" dxfId="127" priority="106">
      <formula>(C11=#REF!)</formula>
    </cfRule>
    <cfRule type="expression" dxfId="126" priority="107">
      <formula>(C11=#REF!)</formula>
    </cfRule>
    <cfRule type="expression" dxfId="125" priority="108">
      <formula>(C11=#REF!)</formula>
    </cfRule>
    <cfRule type="expression" dxfId="124" priority="109">
      <formula>(C11=#REF!)</formula>
    </cfRule>
  </conditionalFormatting>
  <conditionalFormatting sqref="B18:B22">
    <cfRule type="expression" dxfId="123" priority="47">
      <formula>(C18=$C$32)</formula>
    </cfRule>
    <cfRule type="expression" dxfId="122" priority="48">
      <formula>(C18=$C$33)</formula>
    </cfRule>
    <cfRule type="expression" dxfId="121" priority="49">
      <formula>(C18=$C$34)</formula>
    </cfRule>
    <cfRule type="expression" dxfId="120" priority="50">
      <formula>(C18=$C$35)</formula>
    </cfRule>
    <cfRule type="expression" dxfId="119" priority="51">
      <formula>(C18=$C$36)</formula>
    </cfRule>
  </conditionalFormatting>
  <conditionalFormatting sqref="B30:B36">
    <cfRule type="expression" dxfId="118" priority="192">
      <formula>(C30=$C$32)</formula>
    </cfRule>
    <cfRule type="expression" dxfId="117" priority="193">
      <formula>(C30=$C$33)</formula>
    </cfRule>
    <cfRule type="expression" dxfId="116" priority="194">
      <formula>(C30=$C$34)</formula>
    </cfRule>
    <cfRule type="expression" dxfId="115" priority="195">
      <formula>(C30=$C$35)</formula>
    </cfRule>
    <cfRule type="expression" dxfId="114" priority="196">
      <formula>(C30=$C$36)</formula>
    </cfRule>
  </conditionalFormatting>
  <conditionalFormatting sqref="C7:C10">
    <cfRule type="cellIs" dxfId="113" priority="130" operator="equal">
      <formula>$C$32</formula>
    </cfRule>
    <cfRule type="cellIs" dxfId="112" priority="131" operator="equal">
      <formula>$C$33</formula>
    </cfRule>
    <cfRule type="cellIs" dxfId="111" priority="132" operator="equal">
      <formula>$C$34</formula>
    </cfRule>
    <cfRule type="cellIs" dxfId="110" priority="133" operator="equal">
      <formula>$C$35</formula>
    </cfRule>
    <cfRule type="cellIs" dxfId="109" priority="134" operator="equal">
      <formula>$C$36</formula>
    </cfRule>
  </conditionalFormatting>
  <conditionalFormatting sqref="C11:C17">
    <cfRule type="cellIs" dxfId="108" priority="101" operator="equal">
      <formula>#REF!</formula>
    </cfRule>
  </conditionalFormatting>
  <conditionalFormatting sqref="C14:C22">
    <cfRule type="cellIs" dxfId="107" priority="17" operator="equal">
      <formula>$C$32</formula>
    </cfRule>
    <cfRule type="cellIs" dxfId="106" priority="18" operator="equal">
      <formula>$C$33</formula>
    </cfRule>
    <cfRule type="cellIs" dxfId="105" priority="19" operator="equal">
      <formula>$C$34</formula>
    </cfRule>
    <cfRule type="cellIs" dxfId="104" priority="20" operator="equal">
      <formula>$C$35</formula>
    </cfRule>
    <cfRule type="cellIs" dxfId="103" priority="21" operator="equal">
      <formula>$C$36</formula>
    </cfRule>
  </conditionalFormatting>
  <conditionalFormatting sqref="C30:C36 G30:G31 J30:J32">
    <cfRule type="cellIs" dxfId="102" priority="191" operator="equal">
      <formula>$C$36</formula>
    </cfRule>
  </conditionalFormatting>
  <conditionalFormatting sqref="C36">
    <cfRule type="notContainsBlanks" dxfId="101" priority="190">
      <formula>LEN(TRIM(C36))&gt;0</formula>
    </cfRule>
  </conditionalFormatting>
  <conditionalFormatting sqref="G4:G5 H6 G26:G27">
    <cfRule type="cellIs" dxfId="100" priority="204" operator="equal">
      <formula>#REF!</formula>
    </cfRule>
    <cfRule type="cellIs" dxfId="99" priority="205" operator="equal">
      <formula>#REF!</formula>
    </cfRule>
    <cfRule type="cellIs" dxfId="98" priority="206" operator="equal">
      <formula>#REF!</formula>
    </cfRule>
  </conditionalFormatting>
  <conditionalFormatting sqref="G11:G17">
    <cfRule type="cellIs" dxfId="97" priority="102" operator="equal">
      <formula>#REF!</formula>
    </cfRule>
    <cfRule type="cellIs" dxfId="96" priority="103" operator="equal">
      <formula>#REF!</formula>
    </cfRule>
    <cfRule type="cellIs" dxfId="95" priority="104" operator="equal">
      <formula>#REF!</formula>
    </cfRule>
  </conditionalFormatting>
  <conditionalFormatting sqref="G30:G36 G14:G23">
    <cfRule type="cellIs" dxfId="94" priority="98" operator="equal">
      <formula>$G$34</formula>
    </cfRule>
    <cfRule type="cellIs" dxfId="93" priority="99" operator="equal">
      <formula>$G$33</formula>
    </cfRule>
    <cfRule type="cellIs" dxfId="92" priority="100" operator="equal">
      <formula>$G$32</formula>
    </cfRule>
  </conditionalFormatting>
  <conditionalFormatting sqref="G30:G31 C30:C36">
    <cfRule type="cellIs" dxfId="91" priority="186" operator="equal">
      <formula>$C$32</formula>
    </cfRule>
    <cfRule type="cellIs" dxfId="90" priority="187" operator="equal">
      <formula>$C$33</formula>
    </cfRule>
    <cfRule type="cellIs" dxfId="89" priority="188" operator="equal">
      <formula>$C$34</formula>
    </cfRule>
    <cfRule type="cellIs" dxfId="88" priority="189" operator="equal">
      <formula>$C$35</formula>
    </cfRule>
  </conditionalFormatting>
  <conditionalFormatting sqref="H7:H10">
    <cfRule type="cellIs" dxfId="87" priority="183" operator="equal">
      <formula>$G$34</formula>
    </cfRule>
    <cfRule type="cellIs" dxfId="86" priority="184" operator="equal">
      <formula>$G$33</formula>
    </cfRule>
    <cfRule type="cellIs" dxfId="85" priority="185" operator="equal">
      <formula>$G$32</formula>
    </cfRule>
  </conditionalFormatting>
  <conditionalFormatting sqref="B14:B17">
    <cfRule type="expression" dxfId="84" priority="12">
      <formula>(C14=$C$32)</formula>
    </cfRule>
    <cfRule type="expression" dxfId="83" priority="13">
      <formula>(C14=$C$33)</formula>
    </cfRule>
    <cfRule type="expression" dxfId="82" priority="14">
      <formula>(C14=$C$34)</formula>
    </cfRule>
    <cfRule type="expression" dxfId="81" priority="15">
      <formula>(C14=$C$35)</formula>
    </cfRule>
    <cfRule type="expression" dxfId="80" priority="16">
      <formula>(C14=$C$36)</formula>
    </cfRule>
  </conditionalFormatting>
  <conditionalFormatting sqref="C20">
    <cfRule type="cellIs" dxfId="79" priority="1" operator="equal">
      <formula>#REF!</formula>
    </cfRule>
  </conditionalFormatting>
  <conditionalFormatting sqref="B23">
    <cfRule type="expression" dxfId="78" priority="7">
      <formula>(C23=$C$32)</formula>
    </cfRule>
    <cfRule type="expression" dxfId="77" priority="8">
      <formula>(C23=$C$33)</formula>
    </cfRule>
    <cfRule type="expression" dxfId="76" priority="9">
      <formula>(C23=$C$34)</formula>
    </cfRule>
    <cfRule type="expression" dxfId="75" priority="10">
      <formula>(C23=$C$35)</formula>
    </cfRule>
    <cfRule type="expression" dxfId="74" priority="11">
      <formula>(C23=$C$36)</formula>
    </cfRule>
  </conditionalFormatting>
  <conditionalFormatting sqref="C23">
    <cfRule type="cellIs" dxfId="73" priority="2" operator="equal">
      <formula>$C$32</formula>
    </cfRule>
    <cfRule type="cellIs" dxfId="72" priority="3" operator="equal">
      <formula>$C$33</formula>
    </cfRule>
    <cfRule type="cellIs" dxfId="71" priority="4" operator="equal">
      <formula>$C$34</formula>
    </cfRule>
    <cfRule type="cellIs" dxfId="70" priority="5" operator="equal">
      <formula>$C$35</formula>
    </cfRule>
    <cfRule type="cellIs" dxfId="69" priority="6" operator="equal">
      <formula>$C$36</formula>
    </cfRule>
  </conditionalFormatting>
  <dataValidations disablePrompts="1" count="2">
    <dataValidation type="list" allowBlank="1" showInputMessage="1" showErrorMessage="1" sqref="C32:C36 C7:C10 C14:C23" xr:uid="{E4D00CAA-6579-4F25-AC2C-DC95AEE59EA9}">
      <formula1>$C$32:$C$36</formula1>
    </dataValidation>
    <dataValidation type="list" allowBlank="1" showInputMessage="1" showErrorMessage="1" sqref="G32:G34 H7:H10 G14:G23" xr:uid="{992BCFF5-2DC4-4B40-ABE2-D267A80844E0}">
      <formula1>$G$32:$G$34</formula1>
    </dataValidation>
  </dataValidations>
  <pageMargins left="0.511811024" right="0.511811024" top="0.78740157499999996" bottom="0.78740157499999996" header="0.31496062000000002" footer="0.31496062000000002"/>
  <ignoredErrors>
    <ignoredError sqref="J21:J23" calculatedColumn="1"/>
  </ignoredErrors>
  <tableParts count="2">
    <tablePart r:id="rId1"/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98" operator="equal" id="{4330EF4B-81C2-4904-B1D1-29FA5152AB38}">
            <xm:f>'\Users\Joao\Documents\Solo Network\[Kanban-Compras.xlsx]Geral'!#REF!</xm:f>
            <x14:dxf>
              <fill>
                <patternFill patternType="solid">
                  <fgColor rgb="FFD9D2E9"/>
                  <bgColor rgb="FFD9D2E9"/>
                </patternFill>
              </fill>
            </x14:dxf>
          </x14:cfRule>
          <xm:sqref>A1</xm:sqref>
        </x14:conditionalFormatting>
        <x14:conditionalFormatting xmlns:xm="http://schemas.microsoft.com/office/excel/2006/main">
          <x14:cfRule type="cellIs" priority="197" operator="equal" id="{B91F6616-8BBC-46A1-868E-E16D6F0182B4}">
            <xm:f>'\Users\Joao\Documents\Solo Network\[Kanban-Compras.xlsx]Geral'!#REF!</xm:f>
            <x14:dxf>
              <fill>
                <patternFill patternType="solid">
                  <fgColor rgb="FFD9D2E9"/>
                  <bgColor rgb="FFD9D2E9"/>
                </patternFill>
              </fill>
            </x14:dxf>
          </x14:cfRule>
          <xm:sqref>C1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D7BDA-69BC-4603-8B40-CAA669803129}">
  <dimension ref="B2:F11"/>
  <sheetViews>
    <sheetView showGridLines="0" workbookViewId="0">
      <selection activeCell="A7" sqref="A7:XFD7"/>
    </sheetView>
  </sheetViews>
  <sheetFormatPr defaultRowHeight="15" x14ac:dyDescent="0.25"/>
  <cols>
    <col min="2" max="2" width="18" bestFit="1" customWidth="1"/>
    <col min="3" max="3" width="12.28515625" bestFit="1" customWidth="1"/>
    <col min="5" max="5" width="18" bestFit="1" customWidth="1"/>
    <col min="6" max="6" width="12.28515625" bestFit="1" customWidth="1"/>
    <col min="7" max="7" width="13.5703125" bestFit="1" customWidth="1"/>
  </cols>
  <sheetData>
    <row r="2" spans="2:6" x14ac:dyDescent="0.25">
      <c r="B2" s="136" t="s">
        <v>77</v>
      </c>
      <c r="C2" s="136"/>
      <c r="E2" s="136" t="s">
        <v>122</v>
      </c>
      <c r="F2" s="136"/>
    </row>
    <row r="4" spans="2:6" x14ac:dyDescent="0.25">
      <c r="B4" s="59" t="s">
        <v>4</v>
      </c>
      <c r="C4" t="s">
        <v>75</v>
      </c>
      <c r="E4" s="59" t="s">
        <v>4</v>
      </c>
      <c r="F4" t="s">
        <v>75</v>
      </c>
    </row>
    <row r="5" spans="2:6" x14ac:dyDescent="0.25">
      <c r="B5" s="60" t="s">
        <v>3</v>
      </c>
      <c r="C5" s="118">
        <v>20</v>
      </c>
      <c r="E5" s="60" t="s">
        <v>25</v>
      </c>
      <c r="F5">
        <v>50</v>
      </c>
    </row>
    <row r="6" spans="2:6" x14ac:dyDescent="0.25">
      <c r="B6" s="60" t="s">
        <v>23</v>
      </c>
      <c r="C6" s="118">
        <v>25</v>
      </c>
      <c r="E6" s="60" t="s">
        <v>26</v>
      </c>
      <c r="F6">
        <v>30</v>
      </c>
    </row>
    <row r="7" spans="2:6" x14ac:dyDescent="0.25">
      <c r="B7" s="60" t="s">
        <v>24</v>
      </c>
      <c r="C7" s="118">
        <v>15</v>
      </c>
      <c r="E7" s="60" t="s">
        <v>69</v>
      </c>
      <c r="F7">
        <v>1</v>
      </c>
    </row>
    <row r="8" spans="2:6" x14ac:dyDescent="0.25">
      <c r="B8" s="60" t="s">
        <v>22</v>
      </c>
      <c r="C8" s="118">
        <v>10</v>
      </c>
      <c r="E8" s="60" t="s">
        <v>56</v>
      </c>
      <c r="F8">
        <v>5</v>
      </c>
    </row>
    <row r="9" spans="2:6" x14ac:dyDescent="0.25">
      <c r="B9" s="60" t="s">
        <v>5</v>
      </c>
      <c r="C9" s="118">
        <v>70</v>
      </c>
      <c r="E9" s="60" t="s">
        <v>51</v>
      </c>
      <c r="F9">
        <v>50</v>
      </c>
    </row>
    <row r="10" spans="2:6" x14ac:dyDescent="0.25">
      <c r="E10" s="60" t="s">
        <v>57</v>
      </c>
      <c r="F10">
        <v>50</v>
      </c>
    </row>
    <row r="11" spans="2:6" x14ac:dyDescent="0.25">
      <c r="E11" s="60" t="s">
        <v>5</v>
      </c>
      <c r="F11">
        <v>186</v>
      </c>
    </row>
  </sheetData>
  <mergeCells count="2">
    <mergeCell ref="B2:C2"/>
    <mergeCell ref="E2:F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EFC2E-CA23-4E10-B5B5-0E34B5DF306E}">
  <dimension ref="B1:I4"/>
  <sheetViews>
    <sheetView showGridLines="0" zoomScale="90" zoomScaleNormal="90" workbookViewId="0">
      <selection activeCell="E25" sqref="E25"/>
    </sheetView>
  </sheetViews>
  <sheetFormatPr defaultRowHeight="15" x14ac:dyDescent="0.25"/>
  <cols>
    <col min="2" max="9" width="17.7109375" customWidth="1"/>
  </cols>
  <sheetData>
    <row r="1" spans="2:9" ht="15.75" thickBot="1" x14ac:dyDescent="0.3"/>
    <row r="2" spans="2:9" ht="33" customHeight="1" thickTop="1" x14ac:dyDescent="0.25">
      <c r="B2" s="62" t="s">
        <v>37</v>
      </c>
      <c r="C2" s="137" t="s">
        <v>128</v>
      </c>
      <c r="D2" s="137"/>
      <c r="E2" s="137"/>
      <c r="F2" s="137"/>
      <c r="G2" s="137"/>
      <c r="H2" s="137"/>
      <c r="I2" s="137"/>
    </row>
    <row r="3" spans="2:9" ht="33" customHeight="1" thickBot="1" x14ac:dyDescent="0.3">
      <c r="B3" s="107" t="s">
        <v>29</v>
      </c>
      <c r="C3" s="107" t="s">
        <v>129</v>
      </c>
      <c r="D3" s="107" t="s">
        <v>66</v>
      </c>
      <c r="E3" s="107" t="s">
        <v>0</v>
      </c>
      <c r="F3" s="107" t="s">
        <v>61</v>
      </c>
      <c r="G3" s="107" t="s">
        <v>130</v>
      </c>
      <c r="H3" s="107" t="s">
        <v>124</v>
      </c>
      <c r="I3" s="107" t="s">
        <v>131</v>
      </c>
    </row>
    <row r="4" spans="2:9" ht="24" customHeight="1" thickTop="1" x14ac:dyDescent="0.25">
      <c r="B4" s="70" t="s">
        <v>132</v>
      </c>
      <c r="C4" s="13">
        <v>2026</v>
      </c>
      <c r="D4" s="106">
        <v>2000</v>
      </c>
      <c r="E4" s="106">
        <v>123.9</v>
      </c>
      <c r="F4" s="106">
        <v>845</v>
      </c>
      <c r="G4" s="106">
        <v>86</v>
      </c>
      <c r="H4" s="106">
        <v>335</v>
      </c>
      <c r="I4" s="106">
        <v>2390</v>
      </c>
    </row>
  </sheetData>
  <mergeCells count="1">
    <mergeCell ref="C2:I2"/>
  </mergeCells>
  <conditionalFormatting sqref="B2">
    <cfRule type="cellIs" dxfId="40" priority="1" operator="equal">
      <formula>#REF!</formula>
    </cfRule>
  </conditionalFormatting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DC7FE-5E44-400F-A0D5-35D6564F5B0A}">
  <dimension ref="A1:R7"/>
  <sheetViews>
    <sheetView showGridLines="0" zoomScale="90" zoomScaleNormal="90" workbookViewId="0">
      <selection activeCell="O17" sqref="O17"/>
    </sheetView>
  </sheetViews>
  <sheetFormatPr defaultRowHeight="15" x14ac:dyDescent="0.25"/>
  <cols>
    <col min="1" max="1" width="9.7109375" customWidth="1"/>
    <col min="2" max="2" width="19.28515625" customWidth="1"/>
    <col min="3" max="3" width="22" customWidth="1"/>
    <col min="4" max="4" width="25.28515625" customWidth="1"/>
    <col min="5" max="5" width="21.28515625" customWidth="1"/>
    <col min="6" max="6" width="17.7109375" customWidth="1"/>
    <col min="7" max="7" width="15.85546875" customWidth="1"/>
    <col min="10" max="10" width="15.28515625" customWidth="1"/>
    <col min="11" max="11" width="19.28515625" customWidth="1"/>
    <col min="12" max="12" width="28.85546875" customWidth="1"/>
    <col min="13" max="13" width="16.7109375" customWidth="1"/>
    <col min="14" max="17" width="17.85546875" customWidth="1"/>
    <col min="18" max="18" width="11.85546875" customWidth="1"/>
  </cols>
  <sheetData>
    <row r="1" spans="1:18" ht="15.75" thickBot="1" x14ac:dyDescent="0.3"/>
    <row r="2" spans="1:18" ht="45" customHeight="1" thickTop="1" thickBot="1" x14ac:dyDescent="0.3">
      <c r="A2" s="42" t="s">
        <v>86</v>
      </c>
      <c r="B2" s="138" t="s">
        <v>79</v>
      </c>
      <c r="C2" s="138"/>
      <c r="D2" s="138"/>
      <c r="E2" s="138"/>
      <c r="F2" s="138"/>
      <c r="G2" s="138"/>
      <c r="I2" s="42" t="s">
        <v>87</v>
      </c>
      <c r="J2" s="138" t="s">
        <v>82</v>
      </c>
      <c r="K2" s="138"/>
      <c r="L2" s="138"/>
      <c r="M2" s="138"/>
      <c r="N2" s="138"/>
      <c r="O2" s="138"/>
      <c r="P2" s="138"/>
      <c r="Q2" s="138"/>
      <c r="R2" s="138"/>
    </row>
    <row r="3" spans="1:18" ht="18" customHeight="1" thickTop="1" thickBot="1" x14ac:dyDescent="0.3">
      <c r="B3" s="72" t="s">
        <v>80</v>
      </c>
      <c r="C3" s="72" t="s">
        <v>81</v>
      </c>
      <c r="D3" s="72" t="s">
        <v>83</v>
      </c>
      <c r="E3" s="72" t="s">
        <v>84</v>
      </c>
      <c r="F3" s="72" t="s">
        <v>88</v>
      </c>
      <c r="G3" s="72" t="s">
        <v>85</v>
      </c>
      <c r="J3" s="72" t="s">
        <v>80</v>
      </c>
      <c r="K3" s="72" t="s">
        <v>81</v>
      </c>
      <c r="L3" s="72" t="s">
        <v>83</v>
      </c>
      <c r="M3" s="72" t="s">
        <v>84</v>
      </c>
      <c r="N3" s="72" t="s">
        <v>88</v>
      </c>
      <c r="O3" s="72" t="s">
        <v>102</v>
      </c>
      <c r="P3" s="72" t="s">
        <v>42</v>
      </c>
      <c r="Q3" s="72" t="s">
        <v>85</v>
      </c>
      <c r="R3" s="72" t="s">
        <v>1</v>
      </c>
    </row>
    <row r="4" spans="1:18" ht="27" thickTop="1" thickBot="1" x14ac:dyDescent="0.3">
      <c r="B4" s="2" t="s">
        <v>89</v>
      </c>
      <c r="C4" s="2" t="s">
        <v>90</v>
      </c>
      <c r="D4" s="2" t="s">
        <v>91</v>
      </c>
      <c r="E4" s="2" t="s">
        <v>92</v>
      </c>
      <c r="F4" s="2" t="s">
        <v>93</v>
      </c>
      <c r="G4" s="71">
        <v>350</v>
      </c>
      <c r="J4" s="2" t="s">
        <v>94</v>
      </c>
      <c r="K4" s="2" t="s">
        <v>90</v>
      </c>
      <c r="L4" s="2" t="s">
        <v>91</v>
      </c>
      <c r="M4" s="2" t="s">
        <v>92</v>
      </c>
      <c r="N4" s="2" t="s">
        <v>113</v>
      </c>
      <c r="O4" s="80">
        <v>2</v>
      </c>
      <c r="P4" s="71">
        <v>3.2</v>
      </c>
      <c r="Q4" s="71">
        <v>23.5</v>
      </c>
      <c r="R4" s="71">
        <f>Tabela3[[#This Row],[Vlr. Unitário]]*Tabela3[[#This Row],[Quantidade]]+Tabela3[[#This Row],[Frete]]</f>
        <v>29.9</v>
      </c>
    </row>
    <row r="5" spans="1:18" ht="16.5" thickTop="1" thickBot="1" x14ac:dyDescent="0.3">
      <c r="B5" s="2"/>
      <c r="C5" s="2"/>
      <c r="D5" s="2"/>
      <c r="E5" s="2"/>
      <c r="F5" s="2"/>
      <c r="G5" s="71"/>
      <c r="J5" s="2"/>
      <c r="K5" s="2"/>
      <c r="L5" s="2"/>
      <c r="M5" s="2"/>
      <c r="N5" s="2"/>
      <c r="O5" s="2"/>
      <c r="P5" s="2"/>
      <c r="Q5" s="2"/>
      <c r="R5" s="71"/>
    </row>
    <row r="6" spans="1:18" ht="16.5" thickTop="1" thickBot="1" x14ac:dyDescent="0.3">
      <c r="B6" s="2"/>
      <c r="C6" s="2"/>
      <c r="D6" s="2"/>
      <c r="E6" s="2"/>
      <c r="F6" s="2"/>
      <c r="G6" s="71"/>
      <c r="J6" s="2"/>
      <c r="K6" s="2"/>
      <c r="L6" s="2"/>
      <c r="M6" s="2"/>
      <c r="N6" s="2"/>
      <c r="O6" s="2"/>
      <c r="P6" s="2"/>
      <c r="Q6" s="2"/>
      <c r="R6" s="71"/>
    </row>
    <row r="7" spans="1:18" ht="15.75" thickTop="1" x14ac:dyDescent="0.25">
      <c r="B7" s="73"/>
      <c r="C7" s="73"/>
      <c r="D7" s="73"/>
      <c r="E7" s="73"/>
      <c r="F7" s="73"/>
      <c r="G7" s="74"/>
      <c r="J7" s="73"/>
      <c r="K7" s="73"/>
      <c r="L7" s="73"/>
      <c r="M7" s="73"/>
      <c r="N7" s="73"/>
      <c r="O7" s="73"/>
      <c r="P7" s="73"/>
      <c r="Q7" s="73"/>
      <c r="R7" s="74"/>
    </row>
  </sheetData>
  <mergeCells count="2">
    <mergeCell ref="B2:G2"/>
    <mergeCell ref="J2:R2"/>
  </mergeCells>
  <conditionalFormatting sqref="A2">
    <cfRule type="cellIs" dxfId="26" priority="1" operator="equal">
      <formula>#REF!</formula>
    </cfRule>
  </conditionalFormatting>
  <conditionalFormatting sqref="I2">
    <cfRule type="cellIs" dxfId="25" priority="2" operator="equal">
      <formula>#REF!</formula>
    </cfRule>
  </conditionalFormatting>
  <pageMargins left="0.511811024" right="0.511811024" top="0.78740157499999996" bottom="0.78740157499999996" header="0.31496062000000002" footer="0.31496062000000002"/>
  <tableParts count="2"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BFD3F-ED62-4293-9A43-F778131DE363}">
  <dimension ref="B1:H23"/>
  <sheetViews>
    <sheetView showGridLines="0" zoomScaleNormal="100" workbookViewId="0">
      <selection activeCell="E19" sqref="E19"/>
    </sheetView>
  </sheetViews>
  <sheetFormatPr defaultRowHeight="15" x14ac:dyDescent="0.25"/>
  <cols>
    <col min="1" max="1" width="6.7109375" customWidth="1"/>
    <col min="2" max="2" width="16.140625" customWidth="1"/>
    <col min="3" max="3" width="18.42578125" customWidth="1"/>
    <col min="4" max="4" width="10.42578125" customWidth="1"/>
    <col min="5" max="5" width="12.42578125" customWidth="1"/>
    <col min="6" max="6" width="14.5703125" customWidth="1"/>
    <col min="7" max="7" width="7.42578125" customWidth="1"/>
    <col min="8" max="8" width="10" customWidth="1"/>
  </cols>
  <sheetData>
    <row r="1" spans="2:8" ht="26.25" customHeight="1" thickTop="1" thickBot="1" x14ac:dyDescent="0.3">
      <c r="B1" s="139" t="s">
        <v>96</v>
      </c>
      <c r="C1" s="141" t="s">
        <v>97</v>
      </c>
      <c r="D1" s="141"/>
      <c r="E1" s="141"/>
      <c r="F1" s="141"/>
    </row>
    <row r="2" spans="2:8" ht="16.5" customHeight="1" thickTop="1" thickBot="1" x14ac:dyDescent="0.3">
      <c r="B2" s="140"/>
      <c r="C2" s="75" t="s">
        <v>98</v>
      </c>
      <c r="D2" s="75"/>
      <c r="E2" s="75"/>
      <c r="F2" s="75"/>
    </row>
    <row r="3" spans="2:8" ht="21" customHeight="1" thickTop="1" x14ac:dyDescent="0.25">
      <c r="B3" s="76"/>
      <c r="C3" s="77"/>
    </row>
    <row r="4" spans="2:8" ht="15.75" thickBot="1" x14ac:dyDescent="0.3"/>
    <row r="5" spans="2:8" ht="16.5" thickTop="1" thickBot="1" x14ac:dyDescent="0.3">
      <c r="B5" s="99" t="s">
        <v>41</v>
      </c>
      <c r="C5" s="78"/>
    </row>
    <row r="6" spans="2:8" ht="16.5" thickTop="1" thickBot="1" x14ac:dyDescent="0.3">
      <c r="B6" s="99" t="s">
        <v>83</v>
      </c>
      <c r="C6" s="78"/>
    </row>
    <row r="7" spans="2:8" ht="16.5" thickTop="1" thickBot="1" x14ac:dyDescent="0.3">
      <c r="B7" s="99" t="s">
        <v>99</v>
      </c>
      <c r="C7" s="78"/>
    </row>
    <row r="8" spans="2:8" ht="16.5" thickTop="1" thickBot="1" x14ac:dyDescent="0.3">
      <c r="B8" s="99" t="s">
        <v>84</v>
      </c>
      <c r="C8" s="78"/>
    </row>
    <row r="9" spans="2:8" ht="16.5" thickTop="1" thickBot="1" x14ac:dyDescent="0.3">
      <c r="B9" s="99" t="s">
        <v>100</v>
      </c>
      <c r="C9" s="78"/>
    </row>
    <row r="10" spans="2:8" ht="16.5" thickTop="1" thickBot="1" x14ac:dyDescent="0.3">
      <c r="B10" s="99" t="s">
        <v>12</v>
      </c>
      <c r="C10" s="79"/>
    </row>
    <row r="11" spans="2:8" ht="15.75" thickTop="1" x14ac:dyDescent="0.25"/>
    <row r="12" spans="2:8" ht="15.75" thickBot="1" x14ac:dyDescent="0.3"/>
    <row r="13" spans="2:8" ht="16.5" thickTop="1" thickBot="1" x14ac:dyDescent="0.3">
      <c r="B13" s="142" t="s">
        <v>101</v>
      </c>
      <c r="C13" s="142"/>
      <c r="D13" s="142"/>
      <c r="E13" s="142"/>
      <c r="F13" s="142"/>
      <c r="G13" s="142"/>
      <c r="H13" s="142"/>
    </row>
    <row r="14" spans="2:8" ht="16.5" thickTop="1" thickBot="1" x14ac:dyDescent="0.3"/>
    <row r="15" spans="2:8" ht="16.5" thickTop="1" thickBot="1" x14ac:dyDescent="0.3">
      <c r="B15" s="89" t="s">
        <v>102</v>
      </c>
      <c r="C15" s="89" t="s">
        <v>103</v>
      </c>
      <c r="D15" s="89"/>
      <c r="E15" s="89" t="s">
        <v>85</v>
      </c>
      <c r="F15" s="89" t="s">
        <v>42</v>
      </c>
      <c r="G15" s="89" t="s">
        <v>1</v>
      </c>
      <c r="H15" s="89"/>
    </row>
    <row r="16" spans="2:8" ht="16.5" thickTop="1" thickBot="1" x14ac:dyDescent="0.3">
      <c r="B16" s="80">
        <v>1</v>
      </c>
      <c r="C16" s="143" t="s">
        <v>104</v>
      </c>
      <c r="D16" s="143"/>
      <c r="E16" s="81">
        <v>5.7</v>
      </c>
      <c r="F16" s="81">
        <v>40</v>
      </c>
      <c r="G16" s="146">
        <f>F16*B16+E16</f>
        <v>45.7</v>
      </c>
      <c r="H16" s="146"/>
    </row>
    <row r="17" spans="2:8" ht="16.5" thickTop="1" thickBot="1" x14ac:dyDescent="0.3">
      <c r="B17" s="80">
        <v>2</v>
      </c>
      <c r="C17" s="143" t="s">
        <v>105</v>
      </c>
      <c r="D17" s="143"/>
      <c r="E17" s="81">
        <v>5.7</v>
      </c>
      <c r="F17" s="81">
        <v>2</v>
      </c>
      <c r="G17" s="146">
        <f t="shared" ref="G17:G18" si="0">F17*B17+E17</f>
        <v>9.6999999999999993</v>
      </c>
      <c r="H17" s="146"/>
    </row>
    <row r="18" spans="2:8" ht="16.5" thickTop="1" thickBot="1" x14ac:dyDescent="0.3">
      <c r="B18" s="80">
        <v>3</v>
      </c>
      <c r="C18" s="143" t="s">
        <v>106</v>
      </c>
      <c r="D18" s="143"/>
      <c r="E18" s="81">
        <v>5.7</v>
      </c>
      <c r="F18" s="81">
        <v>2</v>
      </c>
      <c r="G18" s="146">
        <f t="shared" si="0"/>
        <v>11.7</v>
      </c>
      <c r="H18" s="146"/>
    </row>
    <row r="19" spans="2:8" ht="15.75" thickTop="1" x14ac:dyDescent="0.25">
      <c r="B19" s="82"/>
      <c r="C19" s="82"/>
      <c r="D19" s="82"/>
      <c r="E19" s="83"/>
      <c r="F19" s="83"/>
      <c r="G19" s="83"/>
      <c r="H19" s="83"/>
    </row>
    <row r="20" spans="2:8" ht="15.75" thickBot="1" x14ac:dyDescent="0.3">
      <c r="B20" s="82"/>
      <c r="C20" s="82"/>
      <c r="D20" s="82"/>
      <c r="E20" s="83"/>
      <c r="F20" s="83"/>
      <c r="G20" s="83"/>
      <c r="H20" s="83"/>
    </row>
    <row r="21" spans="2:8" ht="16.5" thickTop="1" thickBot="1" x14ac:dyDescent="0.3">
      <c r="B21" s="89" t="s">
        <v>102</v>
      </c>
      <c r="C21" s="89" t="s">
        <v>107</v>
      </c>
      <c r="D21" s="89"/>
      <c r="E21" s="89" t="s">
        <v>85</v>
      </c>
      <c r="F21" s="89" t="s">
        <v>42</v>
      </c>
      <c r="G21" s="89" t="s">
        <v>1</v>
      </c>
      <c r="H21" s="89"/>
    </row>
    <row r="22" spans="2:8" ht="16.5" thickTop="1" thickBot="1" x14ac:dyDescent="0.3">
      <c r="B22" s="80">
        <f>SUM(B16:B18)</f>
        <v>6</v>
      </c>
      <c r="C22" s="143">
        <f>COUNTA(C16:D18)</f>
        <v>3</v>
      </c>
      <c r="D22" s="143"/>
      <c r="E22" s="84">
        <f>SUM(E16:E18)</f>
        <v>17.100000000000001</v>
      </c>
      <c r="F22" s="84">
        <f>SUM(F16:F18)</f>
        <v>44</v>
      </c>
      <c r="G22" s="144">
        <f>SUM(G16:H18)</f>
        <v>67.100000000000009</v>
      </c>
      <c r="H22" s="145"/>
    </row>
    <row r="23" spans="2:8" ht="15.75" thickTop="1" x14ac:dyDescent="0.25"/>
  </sheetData>
  <mergeCells count="11">
    <mergeCell ref="B1:B2"/>
    <mergeCell ref="C1:F1"/>
    <mergeCell ref="B13:H13"/>
    <mergeCell ref="C22:D22"/>
    <mergeCell ref="G22:H22"/>
    <mergeCell ref="C17:D17"/>
    <mergeCell ref="G17:H17"/>
    <mergeCell ref="C18:D18"/>
    <mergeCell ref="G18:H18"/>
    <mergeCell ref="C16:D16"/>
    <mergeCell ref="G16:H16"/>
  </mergeCells>
  <pageMargins left="0.511811024" right="0.511811024" top="0.78740157499999996" bottom="0.78740157499999996" header="0.31496062000000002" footer="0.31496062000000002"/>
  <pageSetup paperSize="9" orientation="portrait" horizontalDpi="30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C9623-DC17-4570-8A60-C46482D675BD}">
  <dimension ref="B1:E14"/>
  <sheetViews>
    <sheetView showGridLines="0" workbookViewId="0">
      <selection activeCell="A17" sqref="A17:B17"/>
    </sheetView>
  </sheetViews>
  <sheetFormatPr defaultRowHeight="15" x14ac:dyDescent="0.25"/>
  <cols>
    <col min="2" max="2" width="11.42578125" customWidth="1"/>
    <col min="3" max="3" width="18.7109375" customWidth="1"/>
    <col min="4" max="4" width="18.42578125" customWidth="1"/>
    <col min="5" max="5" width="13.5703125" customWidth="1"/>
    <col min="6" max="6" width="12.42578125" customWidth="1"/>
    <col min="7" max="7" width="14.5703125" customWidth="1"/>
    <col min="8" max="8" width="7.42578125" customWidth="1"/>
    <col min="9" max="9" width="10" customWidth="1"/>
  </cols>
  <sheetData>
    <row r="1" spans="2:5" ht="28.5" customHeight="1" thickTop="1" thickBot="1" x14ac:dyDescent="0.3">
      <c r="B1" s="97" t="s">
        <v>96</v>
      </c>
      <c r="C1" s="141" t="s">
        <v>120</v>
      </c>
      <c r="D1" s="141"/>
      <c r="E1" s="141"/>
    </row>
    <row r="2" spans="2:5" ht="16.5" thickTop="1" thickBot="1" x14ac:dyDescent="0.3">
      <c r="B2" s="98"/>
      <c r="C2" s="75" t="s">
        <v>98</v>
      </c>
      <c r="D2" s="75"/>
      <c r="E2" s="75"/>
    </row>
    <row r="3" spans="2:5" ht="20.25" thickTop="1" x14ac:dyDescent="0.25">
      <c r="C3" s="76"/>
      <c r="D3" s="77"/>
    </row>
    <row r="4" spans="2:5" ht="15.75" thickBot="1" x14ac:dyDescent="0.3"/>
    <row r="5" spans="2:5" ht="16.5" customHeight="1" thickTop="1" thickBot="1" x14ac:dyDescent="0.3">
      <c r="B5" s="142" t="s">
        <v>114</v>
      </c>
      <c r="C5" s="142"/>
      <c r="D5" s="142"/>
      <c r="E5" s="142"/>
    </row>
    <row r="6" spans="2:5" ht="16.5" thickTop="1" thickBot="1" x14ac:dyDescent="0.3"/>
    <row r="7" spans="2:5" ht="25.5" customHeight="1" thickTop="1" thickBot="1" x14ac:dyDescent="0.3">
      <c r="B7" s="89" t="s">
        <v>119</v>
      </c>
      <c r="C7" s="142" t="s">
        <v>103</v>
      </c>
      <c r="D7" s="142"/>
      <c r="E7" s="89" t="s">
        <v>115</v>
      </c>
    </row>
    <row r="8" spans="2:5" ht="30.75" customHeight="1" thickTop="1" thickBot="1" x14ac:dyDescent="0.3">
      <c r="B8" s="87"/>
      <c r="C8" s="141" t="s">
        <v>3</v>
      </c>
      <c r="D8" s="141"/>
      <c r="E8" s="81">
        <f>Caixa!K42</f>
        <v>26.851109796328171</v>
      </c>
    </row>
    <row r="9" spans="2:5" ht="28.5" customHeight="1" thickTop="1" thickBot="1" x14ac:dyDescent="0.3">
      <c r="C9" s="141" t="s">
        <v>22</v>
      </c>
      <c r="D9" s="141"/>
      <c r="E9" s="123">
        <f>Caixa!K43</f>
        <v>33.067036001147443</v>
      </c>
    </row>
    <row r="10" spans="2:5" ht="29.25" customHeight="1" thickTop="1" thickBot="1" x14ac:dyDescent="0.3">
      <c r="C10" s="141" t="s">
        <v>24</v>
      </c>
      <c r="D10" s="141"/>
      <c r="E10" s="123">
        <f>Caixa!K44</f>
        <v>41.650934093516923</v>
      </c>
    </row>
    <row r="11" spans="2:5" ht="27" customHeight="1" thickTop="1" thickBot="1" x14ac:dyDescent="0.3">
      <c r="C11" s="141" t="s">
        <v>23</v>
      </c>
      <c r="D11" s="141"/>
      <c r="E11" s="123">
        <f>Caixa!K45</f>
        <v>47.570863812392417</v>
      </c>
    </row>
    <row r="12" spans="2:5" ht="31.5" customHeight="1" thickTop="1" thickBot="1" x14ac:dyDescent="0.3">
      <c r="C12" s="141" t="s">
        <v>116</v>
      </c>
      <c r="D12" s="141"/>
      <c r="E12" s="123">
        <f>Caixa!K46</f>
        <v>0</v>
      </c>
    </row>
    <row r="13" spans="2:5" ht="15.75" thickTop="1" x14ac:dyDescent="0.25">
      <c r="C13" s="82"/>
      <c r="D13" s="82"/>
      <c r="E13" s="83"/>
    </row>
    <row r="14" spans="2:5" x14ac:dyDescent="0.25">
      <c r="C14" s="82"/>
      <c r="D14" s="82"/>
      <c r="E14" s="83"/>
    </row>
  </sheetData>
  <mergeCells count="8">
    <mergeCell ref="B5:E5"/>
    <mergeCell ref="C1:E1"/>
    <mergeCell ref="C11:D11"/>
    <mergeCell ref="C12:D12"/>
    <mergeCell ref="C7:D7"/>
    <mergeCell ref="C8:D8"/>
    <mergeCell ref="C9:D9"/>
    <mergeCell ref="C10:D10"/>
  </mergeCells>
  <pageMargins left="0.511811024" right="0.511811024" top="0.78740157499999996" bottom="0.78740157499999996" header="0.31496062000000002" footer="0.31496062000000002"/>
  <pageSetup paperSize="9" orientation="portrait" horizontalDpi="30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D22A7-D9E6-49C9-AC37-3C3F551DB3A8}">
  <dimension ref="A2:A16"/>
  <sheetViews>
    <sheetView showGridLines="0" zoomScale="90" zoomScaleNormal="90" workbookViewId="0">
      <selection activeCell="R11" sqref="R11"/>
    </sheetView>
  </sheetViews>
  <sheetFormatPr defaultRowHeight="15" x14ac:dyDescent="0.25"/>
  <sheetData>
    <row r="2" ht="36" customHeight="1" x14ac:dyDescent="0.25"/>
    <row r="3" ht="45" customHeight="1" x14ac:dyDescent="0.25"/>
    <row r="4" ht="32.25" customHeight="1" x14ac:dyDescent="0.25"/>
    <row r="5" ht="30.75" customHeight="1" x14ac:dyDescent="0.25"/>
    <row r="6" ht="33.75" customHeight="1" x14ac:dyDescent="0.25"/>
    <row r="7" ht="26.25" customHeight="1" x14ac:dyDescent="0.25"/>
    <row r="8" ht="36.75" customHeight="1" x14ac:dyDescent="0.25"/>
    <row r="9" ht="33" customHeight="1" x14ac:dyDescent="0.25"/>
    <row r="10" ht="29.25" customHeight="1" x14ac:dyDescent="0.25"/>
    <row r="11" ht="38.25" customHeight="1" x14ac:dyDescent="0.25"/>
    <row r="12" ht="42.75" customHeight="1" x14ac:dyDescent="0.25"/>
    <row r="14" ht="46.5" customHeight="1" x14ac:dyDescent="0.25"/>
    <row r="16" ht="47.25" customHeight="1" x14ac:dyDescent="0.25"/>
  </sheetData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D5C28-00F1-4437-828C-6A6B65D9AC17}">
  <dimension ref="B1:J17"/>
  <sheetViews>
    <sheetView showGridLines="0" zoomScale="90" zoomScaleNormal="90" workbookViewId="0">
      <selection activeCell="B35" sqref="B35"/>
    </sheetView>
  </sheetViews>
  <sheetFormatPr defaultRowHeight="15" x14ac:dyDescent="0.25"/>
  <cols>
    <col min="2" max="2" width="8.7109375" customWidth="1"/>
    <col min="3" max="3" width="17.7109375" customWidth="1"/>
    <col min="4" max="4" width="24.85546875" customWidth="1"/>
    <col min="5" max="5" width="22.42578125" customWidth="1"/>
    <col min="6" max="6" width="23.28515625" customWidth="1"/>
    <col min="7" max="7" width="22.42578125" customWidth="1"/>
    <col min="8" max="8" width="21.7109375" customWidth="1"/>
    <col min="9" max="9" width="20.140625" customWidth="1"/>
    <col min="10" max="10" width="8.7109375" customWidth="1"/>
  </cols>
  <sheetData>
    <row r="1" spans="2:10" x14ac:dyDescent="0.25">
      <c r="B1" s="1"/>
      <c r="C1" s="1"/>
      <c r="D1" s="1"/>
      <c r="E1" s="1"/>
      <c r="F1" s="1"/>
      <c r="G1" s="1"/>
      <c r="H1" s="1"/>
      <c r="I1" s="1"/>
      <c r="J1" s="1"/>
    </row>
    <row r="2" spans="2:10" ht="26.25" x14ac:dyDescent="0.4">
      <c r="C2" s="147" t="s">
        <v>72</v>
      </c>
      <c r="D2" s="147"/>
      <c r="E2" s="147"/>
      <c r="F2" s="147"/>
      <c r="G2" s="147"/>
      <c r="H2" s="147"/>
      <c r="I2" s="147"/>
    </row>
    <row r="3" spans="2:10" ht="15.75" thickBot="1" x14ac:dyDescent="0.3"/>
    <row r="4" spans="2:10" ht="16.5" thickTop="1" thickBot="1" x14ac:dyDescent="0.3">
      <c r="C4" s="2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</row>
    <row r="5" spans="2:10" ht="16.5" thickTop="1" thickBot="1" x14ac:dyDescent="0.3">
      <c r="C5" s="2"/>
      <c r="D5" s="2"/>
      <c r="E5" s="2"/>
      <c r="F5" s="2"/>
      <c r="G5" s="2">
        <v>1</v>
      </c>
      <c r="H5" s="2">
        <v>2</v>
      </c>
      <c r="I5" s="2">
        <v>3</v>
      </c>
    </row>
    <row r="6" spans="2:10" ht="40.5" customHeight="1" thickTop="1" thickBot="1" x14ac:dyDescent="0.3">
      <c r="C6" s="2"/>
      <c r="D6" s="2"/>
      <c r="E6" s="2"/>
      <c r="F6" s="2"/>
      <c r="G6" s="2"/>
      <c r="H6" s="2"/>
      <c r="I6" s="2"/>
    </row>
    <row r="7" spans="2:10" ht="16.5" thickTop="1" thickBot="1" x14ac:dyDescent="0.3">
      <c r="C7" s="2">
        <v>4</v>
      </c>
      <c r="D7" s="2">
        <v>5</v>
      </c>
      <c r="E7" s="2">
        <v>6</v>
      </c>
      <c r="F7" s="2">
        <v>7</v>
      </c>
      <c r="G7" s="2">
        <v>8</v>
      </c>
      <c r="H7" s="2">
        <v>9</v>
      </c>
      <c r="I7" s="2">
        <v>10</v>
      </c>
    </row>
    <row r="8" spans="2:10" ht="45" customHeight="1" thickTop="1" thickBot="1" x14ac:dyDescent="0.3">
      <c r="C8" s="2"/>
      <c r="D8" s="2"/>
      <c r="E8" s="2"/>
      <c r="F8" s="2"/>
      <c r="G8" s="2"/>
      <c r="H8" s="2"/>
      <c r="I8" s="2"/>
    </row>
    <row r="9" spans="2:10" ht="16.5" thickTop="1" thickBot="1" x14ac:dyDescent="0.3">
      <c r="C9" s="2">
        <v>11</v>
      </c>
      <c r="D9" s="2">
        <v>12</v>
      </c>
      <c r="E9" s="2">
        <v>13</v>
      </c>
      <c r="F9" s="2">
        <v>14</v>
      </c>
      <c r="G9" s="2">
        <v>15</v>
      </c>
      <c r="H9" s="2">
        <v>16</v>
      </c>
      <c r="I9" s="2">
        <v>17</v>
      </c>
    </row>
    <row r="10" spans="2:10" ht="38.25" customHeight="1" thickTop="1" thickBot="1" x14ac:dyDescent="0.3">
      <c r="C10" s="2"/>
      <c r="D10" s="2"/>
      <c r="E10" s="2"/>
      <c r="F10" s="2"/>
      <c r="G10" s="2"/>
      <c r="H10" s="2"/>
      <c r="I10" s="2"/>
    </row>
    <row r="11" spans="2:10" ht="16.5" thickTop="1" thickBot="1" x14ac:dyDescent="0.3">
      <c r="C11" s="2">
        <v>18</v>
      </c>
      <c r="D11" s="2">
        <v>19</v>
      </c>
      <c r="E11" s="2">
        <v>20</v>
      </c>
      <c r="F11" s="2">
        <v>21</v>
      </c>
      <c r="G11" s="2">
        <v>22</v>
      </c>
      <c r="H11" s="2">
        <v>23</v>
      </c>
      <c r="I11" s="2">
        <v>24</v>
      </c>
    </row>
    <row r="12" spans="2:10" ht="35.25" customHeight="1" thickTop="1" thickBot="1" x14ac:dyDescent="0.3">
      <c r="C12" s="2"/>
      <c r="D12" s="2"/>
      <c r="E12" s="2"/>
      <c r="F12" s="2"/>
      <c r="G12" s="2"/>
      <c r="H12" s="2"/>
      <c r="I12" s="2"/>
    </row>
    <row r="13" spans="2:10" ht="16.5" thickTop="1" thickBot="1" x14ac:dyDescent="0.3">
      <c r="C13" s="2">
        <v>25</v>
      </c>
      <c r="D13" s="2">
        <v>26</v>
      </c>
      <c r="E13" s="2">
        <v>27</v>
      </c>
      <c r="F13" s="2">
        <v>28</v>
      </c>
      <c r="G13" s="2">
        <v>29</v>
      </c>
      <c r="H13" s="2">
        <v>30</v>
      </c>
      <c r="I13" s="2">
        <v>31</v>
      </c>
    </row>
    <row r="14" spans="2:10" ht="33.75" customHeight="1" thickTop="1" thickBot="1" x14ac:dyDescent="0.3">
      <c r="C14" s="2"/>
      <c r="D14" s="2"/>
      <c r="E14" s="2"/>
      <c r="F14" s="2"/>
      <c r="G14" s="2"/>
      <c r="H14" s="2"/>
      <c r="I14" s="2"/>
    </row>
    <row r="15" spans="2:10" ht="16.5" thickTop="1" thickBot="1" x14ac:dyDescent="0.3">
      <c r="C15" s="2"/>
      <c r="D15" s="2"/>
      <c r="E15" s="2"/>
      <c r="F15" s="2"/>
      <c r="G15" s="2"/>
      <c r="H15" s="2"/>
      <c r="I15" s="2"/>
    </row>
    <row r="16" spans="2:10" ht="16.5" thickTop="1" thickBot="1" x14ac:dyDescent="0.3">
      <c r="C16" s="2"/>
      <c r="D16" s="1"/>
      <c r="E16" s="1"/>
      <c r="F16" s="1"/>
      <c r="G16" s="1"/>
      <c r="H16" s="1"/>
      <c r="I16" s="1"/>
    </row>
    <row r="17" ht="15.75" thickTop="1" x14ac:dyDescent="0.25"/>
  </sheetData>
  <mergeCells count="1">
    <mergeCell ref="C2:I2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9C79E-C1CA-47BE-A6BB-F057588E09D0}">
  <dimension ref="A5:J13"/>
  <sheetViews>
    <sheetView showGridLines="0" workbookViewId="0">
      <selection activeCell="J11" sqref="J11"/>
    </sheetView>
  </sheetViews>
  <sheetFormatPr defaultRowHeight="15" x14ac:dyDescent="0.25"/>
  <cols>
    <col min="1" max="1" width="4.5703125" style="120" customWidth="1"/>
    <col min="2" max="10" width="9.140625" style="120"/>
  </cols>
  <sheetData>
    <row r="5" spans="1:9" ht="19.5" x14ac:dyDescent="0.3">
      <c r="A5" s="119"/>
    </row>
    <row r="6" spans="1:9" x14ac:dyDescent="0.25">
      <c r="A6" s="121" t="s">
        <v>146</v>
      </c>
      <c r="B6" s="148" t="s">
        <v>147</v>
      </c>
      <c r="C6" s="148"/>
      <c r="D6" s="148"/>
      <c r="E6" s="148"/>
      <c r="F6" s="148"/>
      <c r="G6" s="148"/>
      <c r="H6" s="148"/>
      <c r="I6" s="148"/>
    </row>
    <row r="7" spans="1:9" x14ac:dyDescent="0.25">
      <c r="A7" s="121" t="s">
        <v>148</v>
      </c>
      <c r="B7" s="148" t="s">
        <v>149</v>
      </c>
      <c r="C7" s="148"/>
      <c r="D7" s="148"/>
      <c r="E7" s="148"/>
      <c r="F7" s="148"/>
      <c r="G7" s="148"/>
      <c r="H7" s="148"/>
      <c r="I7" s="148"/>
    </row>
    <row r="8" spans="1:9" ht="42" customHeight="1" x14ac:dyDescent="0.25">
      <c r="A8" s="121" t="s">
        <v>150</v>
      </c>
      <c r="B8" s="148" t="s">
        <v>151</v>
      </c>
      <c r="C8" s="148"/>
      <c r="D8" s="148"/>
      <c r="E8" s="148"/>
      <c r="F8" s="148"/>
      <c r="G8" s="148"/>
      <c r="H8" s="148"/>
      <c r="I8" s="148"/>
    </row>
    <row r="9" spans="1:9" x14ac:dyDescent="0.25">
      <c r="A9" s="121" t="s">
        <v>152</v>
      </c>
      <c r="B9" s="148" t="s">
        <v>153</v>
      </c>
      <c r="C9" s="148"/>
      <c r="D9" s="148"/>
      <c r="E9" s="148"/>
      <c r="F9" s="148"/>
      <c r="G9" s="148"/>
      <c r="H9" s="148"/>
      <c r="I9" s="148"/>
    </row>
    <row r="10" spans="1:9" x14ac:dyDescent="0.25">
      <c r="A10" s="121" t="s">
        <v>154</v>
      </c>
      <c r="B10" s="148" t="s">
        <v>155</v>
      </c>
      <c r="C10" s="148"/>
      <c r="D10" s="148"/>
      <c r="E10" s="148"/>
      <c r="F10" s="148"/>
      <c r="G10" s="148"/>
      <c r="H10" s="148"/>
      <c r="I10" s="148"/>
    </row>
    <row r="11" spans="1:9" ht="34.5" customHeight="1" x14ac:dyDescent="0.25">
      <c r="A11" s="121" t="s">
        <v>156</v>
      </c>
      <c r="B11" s="148" t="s">
        <v>157</v>
      </c>
      <c r="C11" s="148"/>
      <c r="D11" s="148"/>
      <c r="E11" s="148"/>
      <c r="F11" s="148"/>
      <c r="G11" s="148"/>
      <c r="H11" s="148"/>
      <c r="I11" s="148"/>
    </row>
    <row r="13" spans="1:9" x14ac:dyDescent="0.25">
      <c r="B13" s="122"/>
      <c r="C13" s="122"/>
      <c r="D13" s="122" t="s">
        <v>158</v>
      </c>
      <c r="E13" s="120" t="s">
        <v>159</v>
      </c>
    </row>
  </sheetData>
  <sheetProtection algorithmName="SHA-512" hashValue="SfdIqmOnigydlAf4G7wLohEkpvslhk5HJr56VMDnUfg+BYCwsR4ch0uMxQ5ogJNlNcUTVhwQRkqMr2fw0x57Iw==" saltValue="Z18DiY7A6/gIORYuyomQ7w==" spinCount="100000" sheet="1" objects="1" scenarios="1"/>
  <mergeCells count="6">
    <mergeCell ref="B11:I11"/>
    <mergeCell ref="B6:I6"/>
    <mergeCell ref="B7:I7"/>
    <mergeCell ref="B8:I8"/>
    <mergeCell ref="B9:I9"/>
    <mergeCell ref="B10:I10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Dashboard</vt:lpstr>
      <vt:lpstr>Caixa</vt:lpstr>
      <vt:lpstr>Caixa-Dinamica</vt:lpstr>
      <vt:lpstr>Produção</vt:lpstr>
      <vt:lpstr>Producao-Dinamica</vt:lpstr>
      <vt:lpstr>Resultados</vt:lpstr>
      <vt:lpstr>Contatos</vt:lpstr>
      <vt:lpstr>Orçamento</vt:lpstr>
      <vt:lpstr>Preços</vt:lpstr>
      <vt:lpstr>Agenda</vt:lpstr>
      <vt:lpstr>Calendário</vt:lpstr>
      <vt:lpstr>Cloud 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2026-03-08T13:17:04Z</cp:lastPrinted>
  <dcterms:created xsi:type="dcterms:W3CDTF">2024-09-10T18:07:36Z</dcterms:created>
  <dcterms:modified xsi:type="dcterms:W3CDTF">2026-10-18T14:10:00Z</dcterms:modified>
</cp:coreProperties>
</file>